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CharisS\Downloads\"/>
    </mc:Choice>
  </mc:AlternateContent>
  <xr:revisionPtr revIDLastSave="0" documentId="8_{B49AEDCD-0C2D-4E90-BFE6-E7F69DBE7C34}" xr6:coauthVersionLast="41" xr6:coauthVersionMax="41" xr10:uidLastSave="{00000000-0000-0000-0000-000000000000}"/>
  <workbookProtection workbookPassword="C54F" lockStructure="1"/>
  <bookViews>
    <workbookView xWindow="-120" yWindow="-120" windowWidth="29040" windowHeight="17640" xr2:uid="{00000000-000D-0000-FFFF-FFFF00000000}"/>
  </bookViews>
  <sheets>
    <sheet name="Υπολογισμοί" sheetId="1" r:id="rId1"/>
    <sheet name="Συντελεστές" sheetId="2" r:id="rId2"/>
  </sheets>
  <definedNames>
    <definedName name="Pinakas_Arthrou_98">Συντελεστές!$B$4:$D$50</definedName>
    <definedName name="_xlnm.Print_Area" localSheetId="1">Συντελεστές!$G$4:$I$9</definedName>
    <definedName name="_xlnm.Print_Area" localSheetId="0">Υπολογισμοί!$B$2:$K$29</definedName>
  </definedNames>
  <calcPr calcId="181029"/>
</workbook>
</file>

<file path=xl/calcChain.xml><?xml version="1.0" encoding="utf-8"?>
<calcChain xmlns="http://schemas.openxmlformats.org/spreadsheetml/2006/main">
  <c r="B29" i="1" l="1"/>
  <c r="I4" i="1"/>
  <c r="H4" i="1"/>
  <c r="B4" i="1"/>
  <c r="G4" i="2" l="1"/>
  <c r="I7" i="2" l="1"/>
  <c r="J7" i="2"/>
  <c r="M10" i="1"/>
  <c r="E9" i="1"/>
  <c r="I33" i="1"/>
  <c r="H33" i="1"/>
  <c r="G33" i="1"/>
  <c r="F33" i="1"/>
  <c r="M11" i="1" l="1"/>
  <c r="M12" i="1" s="1"/>
  <c r="B17" i="1" l="1"/>
  <c r="G7" i="2"/>
  <c r="H7" i="2"/>
  <c r="G6" i="2"/>
  <c r="H6" i="2"/>
  <c r="E8" i="1"/>
  <c r="M8" i="2"/>
  <c r="B7" i="1"/>
  <c r="D27" i="1"/>
  <c r="G27" i="1" s="1"/>
  <c r="C12" i="1"/>
  <c r="L6" i="2"/>
  <c r="N6" i="2" s="1"/>
  <c r="C24" i="1" s="1"/>
  <c r="H24" i="1" s="1"/>
  <c r="L5" i="2"/>
  <c r="N5" i="2" s="1"/>
  <c r="C23" i="1" s="1"/>
  <c r="F23" i="1" s="1"/>
  <c r="L4" i="2"/>
  <c r="B31" i="1"/>
  <c r="M4" i="2"/>
  <c r="O4" i="2" s="1"/>
  <c r="M5" i="2"/>
  <c r="O5" i="2" s="1"/>
  <c r="D23" i="1" s="1"/>
  <c r="M7" i="2"/>
  <c r="O7" i="2" s="1"/>
  <c r="D25" i="1" s="1"/>
  <c r="I25" i="1" s="1"/>
  <c r="L7" i="2"/>
  <c r="N7" i="2" s="1"/>
  <c r="C25" i="1" s="1"/>
  <c r="K7" i="2"/>
  <c r="K8" i="2" s="1"/>
  <c r="J8" i="2"/>
  <c r="M6" i="2"/>
  <c r="O6" i="2" s="1"/>
  <c r="D24" i="1"/>
  <c r="G35" i="1"/>
  <c r="J9" i="2"/>
  <c r="F35" i="1"/>
  <c r="D38"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41" i="1"/>
  <c r="C42" i="1"/>
  <c r="C43" i="1"/>
  <c r="C44" i="1"/>
  <c r="C45" i="1"/>
  <c r="C46" i="1"/>
  <c r="C40" i="1"/>
  <c r="C39" i="1"/>
  <c r="K32" i="1"/>
  <c r="B54" i="1"/>
  <c r="B70" i="1"/>
  <c r="B78" i="1"/>
  <c r="B42" i="1"/>
  <c r="B46" i="1"/>
  <c r="B50" i="1"/>
  <c r="B39" i="1"/>
  <c r="C50" i="2"/>
  <c r="B85" i="1"/>
  <c r="C6" i="2"/>
  <c r="B41" i="1"/>
  <c r="C7" i="2"/>
  <c r="C8" i="2"/>
  <c r="B43" i="1" s="1"/>
  <c r="C9" i="2"/>
  <c r="B44" i="1" s="1"/>
  <c r="C10" i="2"/>
  <c r="B45" i="1"/>
  <c r="C11" i="2"/>
  <c r="C12" i="2"/>
  <c r="B47" i="1" s="1"/>
  <c r="C13" i="2"/>
  <c r="B48" i="1" s="1"/>
  <c r="C14" i="2"/>
  <c r="B49" i="1"/>
  <c r="C15" i="2"/>
  <c r="C16" i="2"/>
  <c r="B51" i="1" s="1"/>
  <c r="C17" i="2"/>
  <c r="B52" i="1" s="1"/>
  <c r="C18" i="2"/>
  <c r="B53" i="1"/>
  <c r="C19" i="2"/>
  <c r="C20" i="2"/>
  <c r="B55" i="1" s="1"/>
  <c r="C21" i="2"/>
  <c r="B56" i="1" s="1"/>
  <c r="C22" i="2"/>
  <c r="B57" i="1" s="1"/>
  <c r="C23" i="2"/>
  <c r="B58" i="1" s="1"/>
  <c r="C24" i="2"/>
  <c r="B59" i="1"/>
  <c r="C25" i="2"/>
  <c r="B60" i="1"/>
  <c r="C26" i="2"/>
  <c r="B61" i="1"/>
  <c r="C27" i="2"/>
  <c r="B62" i="1" s="1"/>
  <c r="C28" i="2"/>
  <c r="B63" i="1" s="1"/>
  <c r="C29" i="2"/>
  <c r="B64" i="1" s="1"/>
  <c r="C30" i="2"/>
  <c r="B65" i="1" s="1"/>
  <c r="C31" i="2"/>
  <c r="B66" i="1" s="1"/>
  <c r="C32" i="2"/>
  <c r="B67" i="1"/>
  <c r="C33" i="2"/>
  <c r="B68" i="1"/>
  <c r="C34" i="2"/>
  <c r="B69" i="1"/>
  <c r="C35" i="2"/>
  <c r="C36" i="2"/>
  <c r="B71" i="1" s="1"/>
  <c r="C37" i="2"/>
  <c r="B72" i="1" s="1"/>
  <c r="C38" i="2"/>
  <c r="B73" i="1" s="1"/>
  <c r="C39" i="2"/>
  <c r="B74" i="1" s="1"/>
  <c r="C40" i="2"/>
  <c r="B75" i="1"/>
  <c r="C41" i="2"/>
  <c r="B76" i="1"/>
  <c r="C42" i="2"/>
  <c r="B77" i="1"/>
  <c r="C43" i="2"/>
  <c r="C44" i="2"/>
  <c r="B79" i="1" s="1"/>
  <c r="C45" i="2"/>
  <c r="B80" i="1" s="1"/>
  <c r="C46" i="2"/>
  <c r="B81" i="1" s="1"/>
  <c r="C47" i="2"/>
  <c r="B82" i="1" s="1"/>
  <c r="C48" i="2"/>
  <c r="B83" i="1"/>
  <c r="C49" i="2"/>
  <c r="B84" i="1"/>
  <c r="C5" i="2"/>
  <c r="B40" i="1"/>
  <c r="C11" i="1"/>
  <c r="I9" i="2"/>
  <c r="H9" i="2"/>
  <c r="L9" i="2"/>
  <c r="N9" i="2"/>
  <c r="C27" i="1" s="1"/>
  <c r="I35" i="1"/>
  <c r="H35" i="1"/>
  <c r="J36" i="1"/>
  <c r="D77" i="1" l="1"/>
  <c r="E77" i="1" s="1"/>
  <c r="D60" i="1"/>
  <c r="E60" i="1" s="1"/>
  <c r="D75" i="1"/>
  <c r="E75" i="1" s="1"/>
  <c r="I75" i="1" s="1"/>
  <c r="D49" i="1"/>
  <c r="E49" i="1" s="1"/>
  <c r="I49" i="1" s="1"/>
  <c r="E12" i="1"/>
  <c r="E11" i="1"/>
  <c r="D85" i="1"/>
  <c r="E85" i="1" s="1"/>
  <c r="I27" i="1"/>
  <c r="K27" i="1" s="1"/>
  <c r="D63" i="1"/>
  <c r="E63" i="1" s="1"/>
  <c r="I63" i="1" s="1"/>
  <c r="D66" i="1"/>
  <c r="E66" i="1" s="1"/>
  <c r="H66" i="1" s="1"/>
  <c r="D45" i="1"/>
  <c r="E45" i="1" s="1"/>
  <c r="D39" i="1"/>
  <c r="E39" i="1" s="1"/>
  <c r="I39" i="1" s="1"/>
  <c r="F24" i="1"/>
  <c r="J24" i="1" s="1"/>
  <c r="I60" i="1"/>
  <c r="E25" i="1"/>
  <c r="E23" i="1"/>
  <c r="H23" i="1"/>
  <c r="J23" i="1" s="1"/>
  <c r="D72" i="1"/>
  <c r="E72" i="1" s="1"/>
  <c r="I72" i="1" s="1"/>
  <c r="H60" i="1"/>
  <c r="D76" i="1"/>
  <c r="E76" i="1" s="1"/>
  <c r="D68" i="1"/>
  <c r="E68" i="1" s="1"/>
  <c r="D82" i="1"/>
  <c r="E82" i="1" s="1"/>
  <c r="D74" i="1"/>
  <c r="E74" i="1" s="1"/>
  <c r="D70" i="1"/>
  <c r="E70" i="1" s="1"/>
  <c r="D65" i="1"/>
  <c r="E65" i="1" s="1"/>
  <c r="D56" i="1"/>
  <c r="E56" i="1" s="1"/>
  <c r="D46" i="1"/>
  <c r="E46" i="1" s="1"/>
  <c r="D42" i="1"/>
  <c r="E42" i="1" s="1"/>
  <c r="I77" i="1"/>
  <c r="D64" i="1"/>
  <c r="E64" i="1" s="1"/>
  <c r="D53" i="1"/>
  <c r="E53" i="1" s="1"/>
  <c r="D83" i="1"/>
  <c r="E83" i="1" s="1"/>
  <c r="D50" i="1"/>
  <c r="E50" i="1" s="1"/>
  <c r="D41" i="1"/>
  <c r="E41" i="1" s="1"/>
  <c r="D78" i="1"/>
  <c r="E78" i="1" s="1"/>
  <c r="D40" i="1"/>
  <c r="E40" i="1" s="1"/>
  <c r="H77" i="1"/>
  <c r="D57" i="1"/>
  <c r="E57" i="1" s="1"/>
  <c r="H57" i="1" s="1"/>
  <c r="D81" i="1"/>
  <c r="E81" i="1" s="1"/>
  <c r="D71" i="1"/>
  <c r="E71" i="1" s="1"/>
  <c r="H71" i="1" s="1"/>
  <c r="D62" i="1"/>
  <c r="E62" i="1" s="1"/>
  <c r="D58" i="1"/>
  <c r="E58" i="1" s="1"/>
  <c r="H58" i="1" s="1"/>
  <c r="D54" i="1"/>
  <c r="E54" i="1" s="1"/>
  <c r="H27" i="1"/>
  <c r="F27" i="1"/>
  <c r="D47" i="1"/>
  <c r="E47" i="1" s="1"/>
  <c r="D48" i="1"/>
  <c r="E48" i="1" s="1"/>
  <c r="D67" i="1"/>
  <c r="E67" i="1" s="1"/>
  <c r="I24" i="1"/>
  <c r="G24" i="1"/>
  <c r="F25" i="1"/>
  <c r="H25" i="1"/>
  <c r="J34" i="1"/>
  <c r="G14" i="1" s="1"/>
  <c r="C14" i="1"/>
  <c r="D84" i="1"/>
  <c r="E84" i="1" s="1"/>
  <c r="D73" i="1"/>
  <c r="E73" i="1" s="1"/>
  <c r="D44" i="1"/>
  <c r="E44" i="1" s="1"/>
  <c r="D51" i="1"/>
  <c r="E51" i="1" s="1"/>
  <c r="D79" i="1"/>
  <c r="E79" i="1" s="1"/>
  <c r="G25" i="1"/>
  <c r="K25" i="1" s="1"/>
  <c r="D69" i="1"/>
  <c r="E69" i="1" s="1"/>
  <c r="D59" i="1"/>
  <c r="E59" i="1" s="1"/>
  <c r="I23" i="1"/>
  <c r="G23" i="1"/>
  <c r="L8" i="2"/>
  <c r="E24" i="1"/>
  <c r="E27" i="1"/>
  <c r="D80" i="1"/>
  <c r="E80" i="1" s="1"/>
  <c r="D52" i="1"/>
  <c r="E52" i="1" s="1"/>
  <c r="D55" i="1"/>
  <c r="E55" i="1" s="1"/>
  <c r="O8" i="2"/>
  <c r="D22" i="1"/>
  <c r="D61" i="1"/>
  <c r="E61" i="1" s="1"/>
  <c r="D86" i="1"/>
  <c r="E86" i="1" s="1"/>
  <c r="D43" i="1"/>
  <c r="E43" i="1" s="1"/>
  <c r="N4" i="2"/>
  <c r="H49" i="1" l="1"/>
  <c r="H75" i="1"/>
  <c r="H72" i="1"/>
  <c r="I85" i="1"/>
  <c r="H45" i="1"/>
  <c r="H85" i="1"/>
  <c r="I45" i="1"/>
  <c r="I42" i="1"/>
  <c r="I71" i="1"/>
  <c r="I36" i="1"/>
  <c r="F12" i="1"/>
  <c r="I37" i="1" s="1"/>
  <c r="H63" i="1"/>
  <c r="H36" i="1"/>
  <c r="F11" i="1"/>
  <c r="H37" i="1" s="1"/>
  <c r="I66" i="1"/>
  <c r="I57" i="1"/>
  <c r="H39" i="1"/>
  <c r="I58" i="1"/>
  <c r="H54" i="1"/>
  <c r="I54" i="1"/>
  <c r="H83" i="1"/>
  <c r="I83" i="1"/>
  <c r="H65" i="1"/>
  <c r="I65" i="1"/>
  <c r="H42" i="1"/>
  <c r="I78" i="1"/>
  <c r="H78" i="1"/>
  <c r="I53" i="1"/>
  <c r="H53" i="1"/>
  <c r="H70" i="1"/>
  <c r="I70" i="1"/>
  <c r="I76" i="1"/>
  <c r="H76" i="1"/>
  <c r="I40" i="1"/>
  <c r="H40" i="1"/>
  <c r="I68" i="1"/>
  <c r="H62" i="1"/>
  <c r="I62" i="1"/>
  <c r="H41" i="1"/>
  <c r="I41" i="1"/>
  <c r="H64" i="1"/>
  <c r="I64" i="1"/>
  <c r="I46" i="1"/>
  <c r="H46" i="1"/>
  <c r="I74" i="1"/>
  <c r="H74" i="1"/>
  <c r="I81" i="1"/>
  <c r="H81" i="1"/>
  <c r="H68" i="1"/>
  <c r="I50" i="1"/>
  <c r="H50" i="1"/>
  <c r="H56" i="1"/>
  <c r="I56" i="1"/>
  <c r="I82" i="1"/>
  <c r="H82" i="1"/>
  <c r="K24" i="1"/>
  <c r="J27" i="1"/>
  <c r="J25" i="1"/>
  <c r="N8" i="2"/>
  <c r="C22" i="1"/>
  <c r="I22" i="1"/>
  <c r="I26" i="1" s="1"/>
  <c r="I28" i="1" s="1"/>
  <c r="D26" i="1"/>
  <c r="G22" i="1"/>
  <c r="G26" i="1" s="1"/>
  <c r="G28" i="1" s="1"/>
  <c r="H80" i="1"/>
  <c r="I80" i="1"/>
  <c r="H44" i="1"/>
  <c r="I44" i="1"/>
  <c r="I43" i="1"/>
  <c r="H43" i="1"/>
  <c r="K23" i="1"/>
  <c r="H73" i="1"/>
  <c r="I73" i="1"/>
  <c r="I67" i="1"/>
  <c r="H67" i="1"/>
  <c r="H86" i="1"/>
  <c r="I86" i="1"/>
  <c r="I55" i="1"/>
  <c r="H55" i="1"/>
  <c r="H59" i="1"/>
  <c r="I59" i="1"/>
  <c r="H79" i="1"/>
  <c r="I79" i="1"/>
  <c r="I84" i="1"/>
  <c r="H84" i="1"/>
  <c r="I48" i="1"/>
  <c r="H48" i="1"/>
  <c r="E38" i="1"/>
  <c r="I61" i="1"/>
  <c r="H61" i="1"/>
  <c r="H52" i="1"/>
  <c r="I52" i="1"/>
  <c r="I69" i="1"/>
  <c r="H69" i="1"/>
  <c r="H51" i="1"/>
  <c r="I51" i="1"/>
  <c r="E14" i="1"/>
  <c r="F14" i="1"/>
  <c r="H47" i="1"/>
  <c r="I47" i="1"/>
  <c r="H34" i="1" l="1"/>
  <c r="H38" i="1" s="1"/>
  <c r="G11" i="1" s="1"/>
  <c r="H11" i="1" s="1"/>
  <c r="D9" i="1"/>
  <c r="D12" i="1"/>
  <c r="D10" i="1"/>
  <c r="D11" i="1"/>
  <c r="K22" i="1"/>
  <c r="K26" i="1" s="1"/>
  <c r="K28" i="1" s="1"/>
  <c r="K29" i="1" s="1"/>
  <c r="H22" i="1"/>
  <c r="H26" i="1" s="1"/>
  <c r="H28" i="1" s="1"/>
  <c r="C26" i="1"/>
  <c r="F22" i="1"/>
  <c r="F26" i="1" s="1"/>
  <c r="F28" i="1" s="1"/>
  <c r="E22" i="1"/>
  <c r="E26" i="1" s="1"/>
  <c r="I34" i="1"/>
  <c r="I38" i="1" s="1"/>
  <c r="G12" i="1" s="1"/>
  <c r="H12" i="1" s="1"/>
  <c r="J22" i="1" l="1"/>
  <c r="J26" i="1" s="1"/>
  <c r="J28" i="1" s="1"/>
  <c r="J29" i="1" s="1"/>
  <c r="G5" i="2" l="1"/>
  <c r="C10" i="1"/>
  <c r="H5" i="2"/>
  <c r="G60" i="1"/>
  <c r="E10" i="1" l="1"/>
  <c r="F10" i="1" s="1"/>
  <c r="G56" i="1"/>
  <c r="G68" i="1"/>
  <c r="G70" i="1"/>
  <c r="G64" i="1"/>
  <c r="G85" i="1"/>
  <c r="G71" i="1"/>
  <c r="G62" i="1"/>
  <c r="G40" i="1"/>
  <c r="G55" i="1"/>
  <c r="G83" i="1"/>
  <c r="G66" i="1"/>
  <c r="G57" i="1"/>
  <c r="G43" i="1"/>
  <c r="G77" i="1"/>
  <c r="G49" i="1"/>
  <c r="G59" i="1"/>
  <c r="G80" i="1"/>
  <c r="G65" i="1"/>
  <c r="G47" i="1"/>
  <c r="G79" i="1"/>
  <c r="G72" i="1"/>
  <c r="G84" i="1"/>
  <c r="G45" i="1"/>
  <c r="G41" i="1"/>
  <c r="G69" i="1"/>
  <c r="G63" i="1"/>
  <c r="G75" i="1"/>
  <c r="G58" i="1"/>
  <c r="G51" i="1"/>
  <c r="G52" i="1"/>
  <c r="G74" i="1"/>
  <c r="G76" i="1"/>
  <c r="G46" i="1"/>
  <c r="G42" i="1"/>
  <c r="G86" i="1"/>
  <c r="G39" i="1"/>
  <c r="G53" i="1"/>
  <c r="G54" i="1"/>
  <c r="G50" i="1"/>
  <c r="G61" i="1"/>
  <c r="G48" i="1"/>
  <c r="G81" i="1"/>
  <c r="G67" i="1"/>
  <c r="G73" i="1"/>
  <c r="G82" i="1"/>
  <c r="G44" i="1"/>
  <c r="G78" i="1"/>
  <c r="G36" i="1" l="1"/>
  <c r="G34" i="1"/>
  <c r="G37" i="1"/>
  <c r="G38" i="1" l="1"/>
  <c r="G10" i="1" s="1"/>
  <c r="H10" i="1" l="1"/>
  <c r="I8" i="2"/>
  <c r="K33" i="1"/>
  <c r="F41" i="1"/>
  <c r="F73" i="1"/>
  <c r="H8" i="2"/>
  <c r="G8" i="2"/>
  <c r="C9" i="1"/>
  <c r="F9" i="1" s="1"/>
  <c r="H4" i="2"/>
  <c r="F64" i="1"/>
  <c r="F39" i="1"/>
  <c r="F36" i="1" l="1"/>
  <c r="F60" i="1"/>
  <c r="F79" i="1"/>
  <c r="F69" i="1"/>
  <c r="F40" i="1"/>
  <c r="F71" i="1"/>
  <c r="F74" i="1"/>
  <c r="F48" i="1"/>
  <c r="F81" i="1"/>
  <c r="F77" i="1"/>
  <c r="F13" i="1"/>
  <c r="F15" i="1" s="1"/>
  <c r="F37" i="1"/>
  <c r="F80" i="1"/>
  <c r="F62" i="1"/>
  <c r="F67" i="1"/>
  <c r="F43" i="1"/>
  <c r="F59" i="1"/>
  <c r="F52" i="1"/>
  <c r="F72" i="1"/>
  <c r="F58" i="1"/>
  <c r="F85" i="1"/>
  <c r="F47" i="1"/>
  <c r="F68" i="1"/>
  <c r="F46" i="1"/>
  <c r="C13" i="1"/>
  <c r="F56" i="1"/>
  <c r="F54" i="1"/>
  <c r="F51" i="1"/>
  <c r="F70" i="1"/>
  <c r="F49" i="1"/>
  <c r="F53" i="1"/>
  <c r="F86" i="1"/>
  <c r="F61" i="1"/>
  <c r="F76" i="1"/>
  <c r="F78" i="1"/>
  <c r="F84" i="1"/>
  <c r="F42" i="1"/>
  <c r="F75" i="1"/>
  <c r="F55" i="1"/>
  <c r="F63" i="1"/>
  <c r="F45" i="1"/>
  <c r="F66" i="1"/>
  <c r="F83" i="1"/>
  <c r="F50" i="1"/>
  <c r="F65" i="1"/>
  <c r="F57" i="1"/>
  <c r="F44" i="1"/>
  <c r="F82" i="1"/>
  <c r="E13" i="1" l="1"/>
  <c r="E15" i="1" s="1"/>
  <c r="F34" i="1"/>
  <c r="F38" i="1" s="1"/>
  <c r="G9" i="1" s="1"/>
  <c r="K34" i="1" l="1"/>
  <c r="G13" i="1"/>
  <c r="G15" i="1" s="1"/>
  <c r="G16" i="1" s="1"/>
  <c r="H9" i="1"/>
  <c r="H13" i="1" s="1"/>
  <c r="H15" i="1" s="1"/>
  <c r="H16" i="1" s="1"/>
  <c r="G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Χάρης Παπαδόπουλος</author>
  </authors>
  <commentList>
    <comment ref="H3" authorId="0" shapeId="0" xr:uid="{00000000-0006-0000-0000-000001000000}">
      <text>
        <r>
          <rPr>
            <sz val="9"/>
            <color indexed="81"/>
            <rFont val="Tahoma"/>
            <family val="2"/>
            <charset val="161"/>
          </rPr>
          <t xml:space="preserve">Το εισόδημα αυτό είναι αυτό που προκύπτει από την </t>
        </r>
        <r>
          <rPr>
            <b/>
            <sz val="9"/>
            <color indexed="81"/>
            <rFont val="Tahoma"/>
            <family val="2"/>
            <charset val="161"/>
          </rPr>
          <t>άσκηση της δραστηριότητας</t>
        </r>
        <r>
          <rPr>
            <sz val="9"/>
            <color indexed="81"/>
            <rFont val="Tahoma"/>
            <family val="2"/>
            <charset val="161"/>
          </rPr>
          <t xml:space="preserve"> και </t>
        </r>
        <r>
          <rPr>
            <u/>
            <sz val="9"/>
            <color indexed="81"/>
            <rFont val="Tahoma"/>
            <family val="2"/>
            <charset val="161"/>
          </rPr>
          <t>μόνο</t>
        </r>
        <r>
          <rPr>
            <sz val="9"/>
            <color indexed="81"/>
            <rFont val="Tahoma"/>
            <family val="2"/>
            <charset val="161"/>
          </rPr>
          <t xml:space="preserve">.
</t>
        </r>
        <r>
          <rPr>
            <u/>
            <sz val="9"/>
            <color indexed="81"/>
            <rFont val="Tahoma"/>
            <family val="2"/>
            <charset val="161"/>
          </rPr>
          <t>Δεν</t>
        </r>
        <r>
          <rPr>
            <sz val="9"/>
            <color indexed="81"/>
            <rFont val="Tahoma"/>
            <family val="2"/>
            <charset val="161"/>
          </rPr>
          <t xml:space="preserve"> προστίθεται τυχόν εισόδημα από ενοίκια, τόκους καταθέσεων κ.λπ..
Ουσιαστικά πρόκειται για τα </t>
        </r>
        <r>
          <rPr>
            <b/>
            <sz val="9"/>
            <color indexed="81"/>
            <rFont val="Tahoma"/>
            <family val="2"/>
            <charset val="161"/>
          </rPr>
          <t>κέρδη (= έσοδα - έξοδα)</t>
        </r>
        <r>
          <rPr>
            <sz val="9"/>
            <color indexed="81"/>
            <rFont val="Tahoma"/>
            <family val="2"/>
            <charset val="161"/>
          </rPr>
          <t xml:space="preserve"> του ελεύθερου επαγγελματία.
</t>
        </r>
        <r>
          <rPr>
            <sz val="9"/>
            <color indexed="10"/>
            <rFont val="Tahoma"/>
            <family val="2"/>
            <charset val="161"/>
          </rPr>
          <t xml:space="preserve">_ Στα έξοδα </t>
        </r>
        <r>
          <rPr>
            <b/>
            <sz val="9"/>
            <color indexed="10"/>
            <rFont val="Tahoma"/>
            <family val="2"/>
            <charset val="161"/>
          </rPr>
          <t>ΔΕΝ</t>
        </r>
        <r>
          <rPr>
            <sz val="9"/>
            <color indexed="10"/>
            <rFont val="Tahoma"/>
            <family val="2"/>
            <charset val="161"/>
          </rPr>
          <t xml:space="preserve"> συμπεριλαμβάνονται οι όποιες ασφαλιστικές εισφορές καταβλήθηκαν.
_ Ειδικά για το </t>
        </r>
        <r>
          <rPr>
            <b/>
            <sz val="9"/>
            <color indexed="10"/>
            <rFont val="Tahoma"/>
            <family val="2"/>
            <charset val="161"/>
          </rPr>
          <t>2018</t>
        </r>
        <r>
          <rPr>
            <sz val="9"/>
            <color indexed="10"/>
            <rFont val="Tahoma"/>
            <family val="2"/>
            <charset val="161"/>
          </rPr>
          <t xml:space="preserve"> οι υπολογισμοί θα γίνουν στο </t>
        </r>
        <r>
          <rPr>
            <b/>
            <sz val="9"/>
            <color indexed="10"/>
            <rFont val="Tahoma"/>
            <family val="2"/>
            <charset val="161"/>
          </rPr>
          <t>85%</t>
        </r>
        <r>
          <rPr>
            <sz val="9"/>
            <color indexed="10"/>
            <rFont val="Tahoma"/>
            <family val="2"/>
            <charset val="161"/>
          </rPr>
          <t xml:space="preserve"> του φορολογητέου εισοδήματος.</t>
        </r>
        <r>
          <rPr>
            <sz val="9"/>
            <color indexed="81"/>
            <rFont val="Tahoma"/>
            <family val="2"/>
            <charset val="161"/>
          </rPr>
          <t xml:space="preserve">
Άρθρο 39, §2α όπως αντικαταστάθηκε με τον Ν.4578/18:
"</t>
        </r>
        <r>
          <rPr>
            <i/>
            <sz val="9"/>
            <color indexed="81"/>
            <rFont val="Tahoma"/>
            <family val="2"/>
            <charset val="161"/>
          </rPr>
          <t xml:space="preserve">Από 1.1.2018 και εντεύθεν, τα ως άνω ποσοστά υπολογίζονται επί του μηνιαίου εισοδήματος, όπως αυτό καθορίζεται με βάση το φορολογητέο αποτέλεσμα από την άσκηση της δραστηριότητάς τους κατά το προηγούμενο φορολογικό έτος, σύμφωνα με τον Κώδικα Φορολογίας Εισοδήματος όπως εκάστοτε ισχύει, </t>
        </r>
        <r>
          <rPr>
            <b/>
            <i/>
            <sz val="9"/>
            <color indexed="81"/>
            <rFont val="Tahoma"/>
            <family val="2"/>
            <charset val="161"/>
          </rPr>
          <t>στο οποίο συμπεριλαμβάνονται οι καταβλητέες ασφαλιστικές εισφορές</t>
        </r>
        <r>
          <rPr>
            <i/>
            <sz val="9"/>
            <color indexed="81"/>
            <rFont val="Tahoma"/>
            <family val="2"/>
            <charset val="161"/>
          </rPr>
          <t>. Ειδικά, για το έτος 2018 η ασφαλιστική εισφορά υπολογίζεται επί του 85% του ως άνω φορολογητέου αποτελέσματος.</t>
        </r>
        <r>
          <rPr>
            <sz val="9"/>
            <color indexed="81"/>
            <rFont val="Tahoma"/>
            <family val="2"/>
            <charset val="161"/>
          </rPr>
          <t>"</t>
        </r>
      </text>
    </comment>
    <comment ref="I4" authorId="0" shapeId="0" xr:uid="{3F25F015-9DD4-4047-B84E-26793D2ADD78}">
      <text>
        <r>
          <rPr>
            <sz val="9"/>
            <color indexed="81"/>
            <rFont val="Tahoma"/>
            <family val="2"/>
            <charset val="161"/>
          </rPr>
          <t xml:space="preserve">Το </t>
        </r>
        <r>
          <rPr>
            <b/>
            <sz val="9"/>
            <color indexed="81"/>
            <rFont val="Tahoma"/>
            <family val="2"/>
            <charset val="161"/>
          </rPr>
          <t>πλήθος των μισθών</t>
        </r>
        <r>
          <rPr>
            <sz val="9"/>
            <color indexed="81"/>
            <rFont val="Tahoma"/>
            <family val="2"/>
            <charset val="161"/>
          </rPr>
          <t xml:space="preserve"> (12 ή 14) αλλάζει στο φύλλο εργασίας "</t>
        </r>
        <r>
          <rPr>
            <b/>
            <sz val="9"/>
            <color indexed="81"/>
            <rFont val="Tahoma"/>
            <family val="2"/>
            <charset val="161"/>
          </rPr>
          <t>Συντελεστές</t>
        </r>
        <r>
          <rPr>
            <sz val="9"/>
            <color indexed="81"/>
            <rFont val="Tahoma"/>
            <family val="2"/>
            <charset val="161"/>
          </rPr>
          <t>"</t>
        </r>
      </text>
    </comment>
    <comment ref="D8" authorId="0" shapeId="0" xr:uid="{00000000-0006-0000-0000-000002000000}">
      <text>
        <r>
          <rPr>
            <sz val="9"/>
            <color indexed="81"/>
            <rFont val="Tahoma"/>
            <family val="2"/>
            <charset val="161"/>
          </rPr>
          <t xml:space="preserve">Η μείωση εφαρμόζεται όταν ισχύουν </t>
        </r>
        <r>
          <rPr>
            <b/>
            <u/>
            <sz val="9"/>
            <color indexed="81"/>
            <rFont val="Tahoma"/>
            <family val="2"/>
            <charset val="161"/>
          </rPr>
          <t>όλα</t>
        </r>
        <r>
          <rPr>
            <sz val="9"/>
            <color indexed="81"/>
            <rFont val="Tahoma"/>
            <family val="2"/>
            <charset val="161"/>
          </rPr>
          <t xml:space="preserve"> τα παρακάτω:
1) οι εισφορές αφορούν το διάστημα </t>
        </r>
        <r>
          <rPr>
            <b/>
            <sz val="9"/>
            <color indexed="81"/>
            <rFont val="Tahoma"/>
            <family val="2"/>
            <charset val="161"/>
          </rPr>
          <t>έως και 31.12.2020</t>
        </r>
        <r>
          <rPr>
            <sz val="9"/>
            <color indexed="81"/>
            <rFont val="Tahoma"/>
            <family val="2"/>
            <charset val="161"/>
          </rPr>
          <t xml:space="preserve">,
2) ο ασφαλισμένος προέρχεται από το </t>
        </r>
        <r>
          <rPr>
            <b/>
            <sz val="9"/>
            <color indexed="81"/>
            <rFont val="Tahoma"/>
            <family val="2"/>
            <charset val="161"/>
          </rPr>
          <t>ΕΤΑΑ</t>
        </r>
        <r>
          <rPr>
            <sz val="9"/>
            <color indexed="81"/>
            <rFont val="Tahoma"/>
            <family val="2"/>
            <charset val="161"/>
          </rPr>
          <t xml:space="preserve">,
3) ο ασφαλισμένος είναι </t>
        </r>
        <r>
          <rPr>
            <b/>
            <sz val="9"/>
            <color indexed="81"/>
            <rFont val="Tahoma"/>
            <family val="2"/>
            <charset val="161"/>
          </rPr>
          <t>ελεύθερος επαγγελματίας</t>
        </r>
        <r>
          <rPr>
            <sz val="9"/>
            <color indexed="81"/>
            <rFont val="Tahoma"/>
            <family val="2"/>
            <charset val="161"/>
          </rPr>
          <t xml:space="preserve">,
4) ο ασφαλισμένος είναι </t>
        </r>
        <r>
          <rPr>
            <b/>
            <sz val="9"/>
            <color indexed="81"/>
            <rFont val="Tahoma"/>
            <family val="2"/>
            <charset val="161"/>
          </rPr>
          <t>άνω πενταετίας</t>
        </r>
        <r>
          <rPr>
            <sz val="9"/>
            <color indexed="81"/>
            <rFont val="Tahoma"/>
            <family val="2"/>
            <charset val="161"/>
          </rPr>
          <t xml:space="preserve"> </t>
        </r>
        <r>
          <rPr>
            <b/>
            <sz val="9"/>
            <color indexed="10"/>
            <rFont val="Tahoma"/>
            <family val="2"/>
            <charset val="161"/>
          </rPr>
          <t>ή</t>
        </r>
        <r>
          <rPr>
            <sz val="9"/>
            <color indexed="81"/>
            <rFont val="Tahoma"/>
            <family val="2"/>
            <charset val="161"/>
          </rPr>
          <t xml:space="preserve"> </t>
        </r>
        <r>
          <rPr>
            <b/>
            <sz val="9"/>
            <color indexed="81"/>
            <rFont val="Tahoma"/>
            <family val="2"/>
            <charset val="161"/>
          </rPr>
          <t>κάτω πενταετίας</t>
        </r>
        <r>
          <rPr>
            <sz val="9"/>
            <color indexed="81"/>
            <rFont val="Tahoma"/>
            <family val="2"/>
            <charset val="161"/>
          </rPr>
          <t xml:space="preserve"> με </t>
        </r>
        <r>
          <rPr>
            <b/>
            <sz val="9"/>
            <color indexed="81"/>
            <rFont val="Tahoma"/>
            <family val="2"/>
            <charset val="161"/>
          </rPr>
          <t>καθαρό φορολογητέο αποτέλεσμα &gt;4.922€</t>
        </r>
        <r>
          <rPr>
            <sz val="9"/>
            <color indexed="81"/>
            <rFont val="Tahoma"/>
            <family val="2"/>
            <charset val="161"/>
          </rPr>
          <t xml:space="preserve"> κατά το προηγούμενο φορολογικό έτος.
---
</t>
        </r>
        <r>
          <rPr>
            <sz val="9"/>
            <color indexed="10"/>
            <rFont val="Tahoma"/>
            <family val="2"/>
            <charset val="161"/>
          </rPr>
          <t>Για εισφορές μέχρι 31.12.2020, επιλέξτε το κουτάκι.</t>
        </r>
      </text>
    </comment>
    <comment ref="E8" authorId="0" shapeId="0" xr:uid="{00000000-0006-0000-0000-000003000000}">
      <text>
        <r>
          <rPr>
            <b/>
            <sz val="11"/>
            <color indexed="81"/>
            <rFont val="Tahoma"/>
            <family val="2"/>
            <charset val="161"/>
          </rPr>
          <t>Ελάχιστες Μηνιαίες Εισφορές</t>
        </r>
        <r>
          <rPr>
            <sz val="9"/>
            <color indexed="81"/>
            <rFont val="Tahoma"/>
            <family val="2"/>
            <charset val="161"/>
          </rPr>
          <t xml:space="preserve">
(βλ. άρθρο 39, §3)
Υπολογίζονται βάσει του </t>
        </r>
        <r>
          <rPr>
            <u/>
            <sz val="9"/>
            <color indexed="17"/>
            <rFont val="Tahoma"/>
            <family val="2"/>
            <charset val="161"/>
          </rPr>
          <t>κατώτατου βασικού μισθού άγαμου μισθωτού άνω των 25 ετών</t>
        </r>
        <r>
          <rPr>
            <sz val="9"/>
            <color indexed="81"/>
            <rFont val="Tahoma"/>
            <family val="2"/>
            <charset val="161"/>
          </rPr>
          <t xml:space="preserve"> (σήμερα είναι </t>
        </r>
        <r>
          <rPr>
            <b/>
            <sz val="9"/>
            <color indexed="10"/>
            <rFont val="Tahoma"/>
            <family val="2"/>
            <charset val="161"/>
          </rPr>
          <t>650,00€</t>
        </r>
        <r>
          <rPr>
            <sz val="9"/>
            <color indexed="81"/>
            <rFont val="Tahoma"/>
            <family val="2"/>
            <charset val="161"/>
          </rPr>
          <t xml:space="preserve">).
Για τους </t>
        </r>
        <r>
          <rPr>
            <u/>
            <sz val="9"/>
            <color indexed="12"/>
            <rFont val="Tahoma"/>
            <family val="2"/>
            <charset val="161"/>
          </rPr>
          <t>κάτω πενταετίας</t>
        </r>
        <r>
          <rPr>
            <sz val="9"/>
            <color indexed="81"/>
            <rFont val="Tahoma"/>
            <family val="2"/>
            <charset val="161"/>
          </rPr>
          <t xml:space="preserve"> το παραπάνω ποσό μειώνεται στο 70% (δηλαδή -σήμερα- 0,7*650,00=</t>
        </r>
        <r>
          <rPr>
            <b/>
            <sz val="9"/>
            <color indexed="10"/>
            <rFont val="Tahoma"/>
            <family val="2"/>
            <charset val="161"/>
          </rPr>
          <t>455,00€</t>
        </r>
        <r>
          <rPr>
            <sz val="9"/>
            <color indexed="81"/>
            <rFont val="Tahoma"/>
            <family val="2"/>
            <charset val="161"/>
          </rPr>
          <t xml:space="preserve">). 
Η μείωση αυτή για τους κάτω πενταετίας αφορά μόνο:
την κύρια σύνταξη
---
</t>
        </r>
        <r>
          <rPr>
            <sz val="9"/>
            <color indexed="10"/>
            <rFont val="Tahoma"/>
            <family val="2"/>
            <charset val="161"/>
          </rPr>
          <t xml:space="preserve">Για τους κάτω πενταετίας, επιλέξτε το κουτάκι μόνο για τις εισφορές </t>
        </r>
        <r>
          <rPr>
            <b/>
            <sz val="9"/>
            <color indexed="10"/>
            <rFont val="Tahoma"/>
            <family val="2"/>
            <charset val="161"/>
          </rPr>
          <t>Κύριας Σύνταξης</t>
        </r>
        <r>
          <rPr>
            <sz val="9"/>
            <color indexed="10"/>
            <rFont val="Tahoma"/>
            <family val="2"/>
            <charset val="161"/>
          </rPr>
          <t xml:space="preserve">.
</t>
        </r>
        <r>
          <rPr>
            <b/>
            <u/>
            <sz val="9"/>
            <color indexed="10"/>
            <rFont val="Tahoma"/>
            <family val="2"/>
            <charset val="161"/>
          </rPr>
          <t>Προσοχή! ΔΕΝ ΙΣΧΥΕΙ από 01.01.2019</t>
        </r>
      </text>
    </comment>
    <comment ref="F8" authorId="0" shapeId="0" xr:uid="{00000000-0006-0000-0000-000004000000}">
      <text>
        <r>
          <rPr>
            <b/>
            <sz val="11"/>
            <color indexed="81"/>
            <rFont val="Tahoma"/>
            <family val="2"/>
            <charset val="161"/>
          </rPr>
          <t>Μέγιστες Μηνιαίες Εισφορές</t>
        </r>
        <r>
          <rPr>
            <sz val="9"/>
            <color indexed="81"/>
            <rFont val="Tahoma"/>
            <family val="2"/>
            <charset val="161"/>
          </rPr>
          <t xml:space="preserve">
(βλ. άρθρο 39, §3 &amp; άρθρο 38, §2α)
Υπολογίζονται βάσει του </t>
        </r>
        <r>
          <rPr>
            <u/>
            <sz val="9"/>
            <color indexed="17"/>
            <rFont val="Tahoma"/>
            <family val="2"/>
            <charset val="161"/>
          </rPr>
          <t>κατώτατου βασικού μισθού άγαμου μισθωτού άνω των 25 ετών</t>
        </r>
        <r>
          <rPr>
            <sz val="9"/>
            <color indexed="81"/>
            <rFont val="Tahoma"/>
            <family val="2"/>
            <charset val="161"/>
          </rPr>
          <t xml:space="preserve"> (σήμερα είναι </t>
        </r>
        <r>
          <rPr>
            <b/>
            <sz val="9"/>
            <color indexed="81"/>
            <rFont val="Tahoma"/>
            <family val="2"/>
            <charset val="161"/>
          </rPr>
          <t>650,00€</t>
        </r>
        <r>
          <rPr>
            <sz val="9"/>
            <color indexed="81"/>
            <rFont val="Tahoma"/>
            <family val="2"/>
            <charset val="161"/>
          </rPr>
          <t>) και στο δεκαπλάσιο αυτού (δηλαδή -σήμερα- 10*650,00=</t>
        </r>
        <r>
          <rPr>
            <b/>
            <sz val="9"/>
            <color indexed="10"/>
            <rFont val="Tahoma"/>
            <family val="2"/>
            <charset val="161"/>
          </rPr>
          <t>6.500,00€</t>
        </r>
        <r>
          <rPr>
            <sz val="9"/>
            <color indexed="81"/>
            <rFont val="Tahoma"/>
            <family val="2"/>
            <charset val="161"/>
          </rPr>
          <t xml:space="preserve">).
---
</t>
        </r>
        <r>
          <rPr>
            <sz val="9"/>
            <color indexed="10"/>
            <rFont val="Tahoma"/>
            <family val="2"/>
            <charset val="161"/>
          </rPr>
          <t xml:space="preserve">Για να ληφθεί ως εισφορά ένα σταθερό ποσό ίσο με την ελάχιστη (min) εισφορά, επιλέξτε το κουτάκι.
Το επιλέγετε  </t>
        </r>
        <r>
          <rPr>
            <b/>
            <u/>
            <sz val="9"/>
            <color indexed="10"/>
            <rFont val="Tahoma"/>
            <family val="2"/>
            <charset val="161"/>
          </rPr>
          <t>ΜΟΝΟ</t>
        </r>
        <r>
          <rPr>
            <b/>
            <sz val="9"/>
            <color indexed="10"/>
            <rFont val="Tahoma"/>
            <family val="2"/>
            <charset val="161"/>
          </rPr>
          <t xml:space="preserve"> αν είστε ελεύθερος επαγγελματίας/αυτοαπασχολούμενος</t>
        </r>
        <r>
          <rPr>
            <sz val="9"/>
            <color indexed="10"/>
            <rFont val="Tahoma"/>
            <family val="2"/>
            <charset val="161"/>
          </rPr>
          <t xml:space="preserve"> για:</t>
        </r>
        <r>
          <rPr>
            <b/>
            <sz val="9"/>
            <color indexed="10"/>
            <rFont val="Tahoma"/>
            <family val="2"/>
            <charset val="161"/>
          </rPr>
          <t xml:space="preserve">
</t>
        </r>
        <r>
          <rPr>
            <sz val="9"/>
            <color indexed="10"/>
            <rFont val="Tahoma"/>
            <family val="2"/>
            <charset val="161"/>
          </rPr>
          <t xml:space="preserve">α) τις εισφορές </t>
        </r>
        <r>
          <rPr>
            <b/>
            <sz val="9"/>
            <color indexed="10"/>
            <rFont val="Tahoma"/>
            <family val="2"/>
            <charset val="161"/>
          </rPr>
          <t>Επικουρικής Σύνταξης</t>
        </r>
        <r>
          <rPr>
            <sz val="9"/>
            <color indexed="10"/>
            <rFont val="Tahoma"/>
            <family val="2"/>
            <charset val="161"/>
          </rPr>
          <t xml:space="preserve"> και</t>
        </r>
        <r>
          <rPr>
            <b/>
            <sz val="9"/>
            <color indexed="10"/>
            <rFont val="Tahoma"/>
            <family val="2"/>
            <charset val="161"/>
          </rPr>
          <t xml:space="preserve">
</t>
        </r>
        <r>
          <rPr>
            <sz val="9"/>
            <color indexed="10"/>
            <rFont val="Tahoma"/>
            <family val="2"/>
            <charset val="161"/>
          </rPr>
          <t xml:space="preserve">β) τις εισφορές </t>
        </r>
        <r>
          <rPr>
            <b/>
            <sz val="9"/>
            <color indexed="10"/>
            <rFont val="Tahoma"/>
            <family val="2"/>
            <charset val="161"/>
          </rPr>
          <t>Εφάπαξ</t>
        </r>
      </text>
    </comment>
    <comment ref="G8" authorId="0" shapeId="0" xr:uid="{00000000-0006-0000-0000-000005000000}">
      <text>
        <r>
          <rPr>
            <b/>
            <sz val="12"/>
            <color indexed="81"/>
            <rFont val="Tahoma"/>
            <family val="2"/>
            <charset val="161"/>
          </rPr>
          <t>Πληρωτέες</t>
        </r>
        <r>
          <rPr>
            <sz val="9"/>
            <color indexed="81"/>
            <rFont val="Tahoma"/>
            <family val="2"/>
            <charset val="161"/>
          </rPr>
          <t xml:space="preserve"> 
</t>
        </r>
        <r>
          <rPr>
            <b/>
            <u/>
            <sz val="9"/>
            <color indexed="10"/>
            <rFont val="Tahoma"/>
            <family val="2"/>
            <charset val="161"/>
          </rPr>
          <t>σήμερα</t>
        </r>
        <r>
          <rPr>
            <sz val="9"/>
            <color indexed="81"/>
            <rFont val="Tahoma"/>
            <family val="2"/>
            <charset val="161"/>
          </rPr>
          <t xml:space="preserve"> 
ασφαλιστικές εισφορές.</t>
        </r>
      </text>
    </comment>
    <comment ref="H8" authorId="0" shapeId="0" xr:uid="{00000000-0006-0000-0000-000006000000}">
      <text>
        <r>
          <rPr>
            <b/>
            <sz val="11"/>
            <color indexed="81"/>
            <rFont val="Tahoma"/>
            <family val="2"/>
            <charset val="161"/>
          </rPr>
          <t>Ασφαλιστική Οφειλή Κάτω 5ετίας</t>
        </r>
        <r>
          <rPr>
            <sz val="9"/>
            <color indexed="81"/>
            <rFont val="Tahoma"/>
            <family val="2"/>
            <charset val="161"/>
          </rPr>
          <t xml:space="preserve">
(βλ. άρθρο 39, §2)
Οι εκπτώσεις του 14% και 17% στις εισφορές της κύριας σύνταξης για τους κάτω 5ετίας δεν είναι εκπτώσεις αλλά </t>
        </r>
        <r>
          <rPr>
            <b/>
            <u/>
            <sz val="9"/>
            <color indexed="81"/>
            <rFont val="Tahoma"/>
            <family val="2"/>
            <charset val="161"/>
          </rPr>
          <t>διευκολύνσεις</t>
        </r>
        <r>
          <rPr>
            <sz val="9"/>
            <color indexed="81"/>
            <rFont val="Tahoma"/>
            <family val="2"/>
            <charset val="161"/>
          </rPr>
          <t xml:space="preserve">.
Οι διαφορές από το 20% αποτελούν </t>
        </r>
        <r>
          <rPr>
            <b/>
            <sz val="9"/>
            <color indexed="10"/>
            <rFont val="Tahoma"/>
            <family val="2"/>
            <charset val="161"/>
          </rPr>
          <t>ΟΦΕΙΛΕΣ!</t>
        </r>
      </text>
    </comment>
    <comment ref="G16" authorId="0" shapeId="0" xr:uid="{00000000-0006-0000-0000-000007000000}">
      <text>
        <r>
          <rPr>
            <b/>
            <sz val="12"/>
            <color indexed="81"/>
            <rFont val="Tahoma"/>
            <family val="2"/>
            <charset val="161"/>
          </rPr>
          <t>Πληρωτέες</t>
        </r>
        <r>
          <rPr>
            <sz val="9"/>
            <color indexed="81"/>
            <rFont val="Tahoma"/>
            <family val="2"/>
            <charset val="161"/>
          </rPr>
          <t xml:space="preserve"> 
</t>
        </r>
        <r>
          <rPr>
            <b/>
            <u/>
            <sz val="9"/>
            <color indexed="10"/>
            <rFont val="Tahoma"/>
            <family val="2"/>
            <charset val="161"/>
          </rPr>
          <t>σήμερα</t>
        </r>
        <r>
          <rPr>
            <sz val="9"/>
            <color indexed="81"/>
            <rFont val="Tahoma"/>
            <family val="2"/>
            <charset val="161"/>
          </rPr>
          <t xml:space="preserve"> 
ασφαλιστικές εισφορές.</t>
        </r>
      </text>
    </comment>
    <comment ref="H16" authorId="0" shapeId="0" xr:uid="{00000000-0006-0000-0000-000008000000}">
      <text>
        <r>
          <rPr>
            <b/>
            <sz val="11"/>
            <color indexed="81"/>
            <rFont val="Tahoma"/>
            <family val="2"/>
            <charset val="161"/>
          </rPr>
          <t>Ασφαλιστική Οφειλή Κάτω 5ετίας</t>
        </r>
        <r>
          <rPr>
            <sz val="9"/>
            <color indexed="81"/>
            <rFont val="Tahoma"/>
            <family val="2"/>
            <charset val="161"/>
          </rPr>
          <t xml:space="preserve">
(βλ. άρθρο 39, §2)
Οι εκπτώσεις του 14% και 17% στις εισφορές της κύριας σύνταξης για τους κάτω 5ετίας δεν είναι εκπτώσεις αλλά </t>
        </r>
        <r>
          <rPr>
            <b/>
            <u/>
            <sz val="9"/>
            <color indexed="81"/>
            <rFont val="Tahoma"/>
            <family val="2"/>
            <charset val="161"/>
          </rPr>
          <t>διευκολύνσεις</t>
        </r>
        <r>
          <rPr>
            <sz val="9"/>
            <color indexed="81"/>
            <rFont val="Tahoma"/>
            <family val="2"/>
            <charset val="161"/>
          </rPr>
          <t xml:space="preserve">.
Οι διαφορές από το 20% αποτελούν </t>
        </r>
        <r>
          <rPr>
            <b/>
            <sz val="9"/>
            <color indexed="10"/>
            <rFont val="Tahoma"/>
            <family val="2"/>
            <charset val="161"/>
          </rPr>
          <t>ΟΦΕΙΛΕΣ!</t>
        </r>
      </text>
    </comment>
    <comment ref="G17" authorId="0" shapeId="0" xr:uid="{00000000-0006-0000-0000-000009000000}">
      <text>
        <r>
          <rPr>
            <b/>
            <sz val="12"/>
            <color indexed="81"/>
            <rFont val="Tahoma"/>
            <family val="2"/>
            <charset val="161"/>
          </rPr>
          <t xml:space="preserve">Το σύνολο των εισφορών που θα πληρώσει ο κάτω 5ετίας
</t>
        </r>
        <r>
          <rPr>
            <sz val="9"/>
            <color indexed="81"/>
            <rFont val="Tahoma"/>
            <family val="2"/>
            <charset val="161"/>
          </rPr>
          <t xml:space="preserve">
Δηλαδή,το </t>
        </r>
        <r>
          <rPr>
            <u/>
            <sz val="9"/>
            <color indexed="81"/>
            <rFont val="Tahoma"/>
            <family val="2"/>
            <charset val="161"/>
          </rPr>
          <t>άθροισμα</t>
        </r>
        <r>
          <rPr>
            <sz val="9"/>
            <color indexed="81"/>
            <rFont val="Tahoma"/>
            <family val="2"/>
            <charset val="161"/>
          </rPr>
          <t xml:space="preserve"> των:
α) οφειλών που πληρώνει </t>
        </r>
        <r>
          <rPr>
            <b/>
            <u/>
            <sz val="9"/>
            <color indexed="81"/>
            <rFont val="Tahoma"/>
            <family val="2"/>
            <charset val="161"/>
          </rPr>
          <t>σήμερα</t>
        </r>
        <r>
          <rPr>
            <sz val="9"/>
            <color indexed="81"/>
            <rFont val="Tahoma"/>
            <family val="2"/>
            <charset val="161"/>
          </rPr>
          <t xml:space="preserve"> και 
β) των εισφορών που </t>
        </r>
        <r>
          <rPr>
            <b/>
            <u/>
            <sz val="9"/>
            <color indexed="81"/>
            <rFont val="Tahoma"/>
            <family val="2"/>
            <charset val="161"/>
          </rPr>
          <t>οφείλει</t>
        </r>
        <r>
          <rPr>
            <sz val="9"/>
            <color indexed="81"/>
            <rFont val="Tahoma"/>
            <family val="2"/>
            <charset val="161"/>
          </rPr>
          <t xml:space="preserve"> να πληρώσει μέχρι το πολύ και τη συμπλήρωση 15 ετών ασφάλισης</t>
        </r>
      </text>
    </comment>
    <comment ref="J35" authorId="0" shapeId="0" xr:uid="{00000000-0006-0000-0000-00000A000000}">
      <text>
        <r>
          <rPr>
            <sz val="9"/>
            <color indexed="81"/>
            <rFont val="Tahoma"/>
            <family val="2"/>
            <charset val="161"/>
          </rPr>
          <t xml:space="preserve">Η μείωση εφαρμόζεται όταν ισχύουν </t>
        </r>
        <r>
          <rPr>
            <b/>
            <u/>
            <sz val="9"/>
            <color indexed="81"/>
            <rFont val="Tahoma"/>
            <family val="2"/>
            <charset val="161"/>
          </rPr>
          <t>όλα</t>
        </r>
        <r>
          <rPr>
            <sz val="9"/>
            <color indexed="81"/>
            <rFont val="Tahoma"/>
            <family val="2"/>
            <charset val="161"/>
          </rPr>
          <t xml:space="preserve"> τα παρακάτω:
1) οι εισφορές αφορούν το διάστημα </t>
        </r>
        <r>
          <rPr>
            <b/>
            <sz val="9"/>
            <color indexed="81"/>
            <rFont val="Tahoma"/>
            <family val="2"/>
            <charset val="161"/>
          </rPr>
          <t>έως και 31.12.2020</t>
        </r>
        <r>
          <rPr>
            <sz val="9"/>
            <color indexed="81"/>
            <rFont val="Tahoma"/>
            <family val="2"/>
            <charset val="161"/>
          </rPr>
          <t xml:space="preserve">,
2) ο ασφαλισμένος προέρχεται από το </t>
        </r>
        <r>
          <rPr>
            <b/>
            <sz val="9"/>
            <color indexed="81"/>
            <rFont val="Tahoma"/>
            <family val="2"/>
            <charset val="161"/>
          </rPr>
          <t>ΕΤΑΑ</t>
        </r>
        <r>
          <rPr>
            <sz val="9"/>
            <color indexed="81"/>
            <rFont val="Tahoma"/>
            <family val="2"/>
            <charset val="161"/>
          </rPr>
          <t xml:space="preserve">,
3) ο ασφαλισμένος είναι </t>
        </r>
        <r>
          <rPr>
            <b/>
            <sz val="9"/>
            <color indexed="81"/>
            <rFont val="Tahoma"/>
            <family val="2"/>
            <charset val="161"/>
          </rPr>
          <t>ελεύθερος επαγγελματίας</t>
        </r>
        <r>
          <rPr>
            <sz val="9"/>
            <color indexed="81"/>
            <rFont val="Tahoma"/>
            <family val="2"/>
            <charset val="161"/>
          </rPr>
          <t xml:space="preserve">,
4) ο ασφαλισμένος είναι </t>
        </r>
        <r>
          <rPr>
            <b/>
            <sz val="9"/>
            <color indexed="81"/>
            <rFont val="Tahoma"/>
            <family val="2"/>
            <charset val="161"/>
          </rPr>
          <t>άνω πενταετίας</t>
        </r>
        <r>
          <rPr>
            <sz val="9"/>
            <color indexed="81"/>
            <rFont val="Tahoma"/>
            <family val="2"/>
            <charset val="161"/>
          </rPr>
          <t xml:space="preserve"> </t>
        </r>
        <r>
          <rPr>
            <b/>
            <sz val="9"/>
            <color indexed="10"/>
            <rFont val="Tahoma"/>
            <family val="2"/>
            <charset val="161"/>
          </rPr>
          <t>ή</t>
        </r>
        <r>
          <rPr>
            <sz val="9"/>
            <color indexed="81"/>
            <rFont val="Tahoma"/>
            <family val="2"/>
            <charset val="161"/>
          </rPr>
          <t xml:space="preserve"> </t>
        </r>
        <r>
          <rPr>
            <b/>
            <sz val="9"/>
            <color indexed="81"/>
            <rFont val="Tahoma"/>
            <family val="2"/>
            <charset val="161"/>
          </rPr>
          <t>κάτω πενταετίας</t>
        </r>
        <r>
          <rPr>
            <sz val="9"/>
            <color indexed="81"/>
            <rFont val="Tahoma"/>
            <family val="2"/>
            <charset val="161"/>
          </rPr>
          <t xml:space="preserve"> με </t>
        </r>
        <r>
          <rPr>
            <b/>
            <sz val="9"/>
            <color indexed="81"/>
            <rFont val="Tahoma"/>
            <family val="2"/>
            <charset val="161"/>
          </rPr>
          <t>καθαρό φορολογητέο αποτέλεσμα &gt;4.922€</t>
        </r>
        <r>
          <rPr>
            <sz val="9"/>
            <color indexed="81"/>
            <rFont val="Tahoma"/>
            <family val="2"/>
            <charset val="161"/>
          </rPr>
          <t xml:space="preserve"> κατά το προηγούμενο φορολογικό έτος.</t>
        </r>
      </text>
    </comment>
    <comment ref="J36" authorId="0" shapeId="0" xr:uid="{00000000-0006-0000-0000-00000B000000}">
      <text>
        <r>
          <rPr>
            <b/>
            <sz val="11"/>
            <color indexed="81"/>
            <rFont val="Tahoma"/>
            <family val="2"/>
            <charset val="161"/>
          </rPr>
          <t>Ελάχιστες Μηνιαίες Εισφορές</t>
        </r>
        <r>
          <rPr>
            <sz val="9"/>
            <color indexed="81"/>
            <rFont val="Tahoma"/>
            <family val="2"/>
            <charset val="161"/>
          </rPr>
          <t xml:space="preserve">
(βλ. άρθρο 39, §3)
Υπολογίζονται βάσει του </t>
        </r>
        <r>
          <rPr>
            <u/>
            <sz val="9"/>
            <color indexed="17"/>
            <rFont val="Tahoma"/>
            <family val="2"/>
            <charset val="161"/>
          </rPr>
          <t>κατώτατου βασικού μισθού άγαμου μισθωτού άνω των 25 ετών</t>
        </r>
        <r>
          <rPr>
            <sz val="9"/>
            <color indexed="81"/>
            <rFont val="Tahoma"/>
            <family val="2"/>
            <charset val="161"/>
          </rPr>
          <t xml:space="preserve"> (σήμερα είναι </t>
        </r>
        <r>
          <rPr>
            <b/>
            <sz val="9"/>
            <color indexed="10"/>
            <rFont val="Tahoma"/>
            <family val="2"/>
            <charset val="161"/>
          </rPr>
          <t>650,00€</t>
        </r>
        <r>
          <rPr>
            <sz val="9"/>
            <color indexed="81"/>
            <rFont val="Tahoma"/>
            <family val="2"/>
            <charset val="161"/>
          </rPr>
          <t xml:space="preserve">).
Για τους </t>
        </r>
        <r>
          <rPr>
            <u/>
            <sz val="9"/>
            <color indexed="12"/>
            <rFont val="Tahoma"/>
            <family val="2"/>
            <charset val="161"/>
          </rPr>
          <t>κάτω πενταετίας</t>
        </r>
        <r>
          <rPr>
            <sz val="9"/>
            <color indexed="81"/>
            <rFont val="Tahoma"/>
            <family val="2"/>
            <charset val="161"/>
          </rPr>
          <t xml:space="preserve"> το παραπάνω ποσό μειώνεται στο 70% (δηλαδή -σήμερα- 0,7*650,00=</t>
        </r>
        <r>
          <rPr>
            <b/>
            <sz val="9"/>
            <color indexed="10"/>
            <rFont val="Tahoma"/>
            <family val="2"/>
            <charset val="161"/>
          </rPr>
          <t>455,00€</t>
        </r>
        <r>
          <rPr>
            <sz val="9"/>
            <color indexed="81"/>
            <rFont val="Tahoma"/>
            <family val="2"/>
            <charset val="161"/>
          </rPr>
          <t>). 
Η μείωση αυτή για τους κάτω πενταετίας αφορά μόνο:
α) την κύρια σύνταξη και 
β) την  υγειονομική περίθαλψη</t>
        </r>
      </text>
    </comment>
    <comment ref="J37" authorId="0" shapeId="0" xr:uid="{00000000-0006-0000-0000-00000C000000}">
      <text>
        <r>
          <rPr>
            <b/>
            <sz val="11"/>
            <color indexed="81"/>
            <rFont val="Tahoma"/>
            <family val="2"/>
            <charset val="161"/>
          </rPr>
          <t>Μέγιστες Μηνιαίες Εισφορές</t>
        </r>
        <r>
          <rPr>
            <sz val="9"/>
            <color indexed="81"/>
            <rFont val="Tahoma"/>
            <family val="2"/>
            <charset val="161"/>
          </rPr>
          <t xml:space="preserve">
(βλ. άρθρο 39, §3 &amp; άρθρο 38, §2α)
Υπολογίζονται βάσει του </t>
        </r>
        <r>
          <rPr>
            <u/>
            <sz val="9"/>
            <color indexed="17"/>
            <rFont val="Tahoma"/>
            <family val="2"/>
            <charset val="161"/>
          </rPr>
          <t>κατώτατου βασικού μισθού άγαμου μισθωτού άνω των 25 ετών</t>
        </r>
        <r>
          <rPr>
            <sz val="9"/>
            <color indexed="81"/>
            <rFont val="Tahoma"/>
            <family val="2"/>
            <charset val="161"/>
          </rPr>
          <t xml:space="preserve"> (σήμερα είναι </t>
        </r>
        <r>
          <rPr>
            <b/>
            <sz val="9"/>
            <color indexed="81"/>
            <rFont val="Tahoma"/>
            <family val="2"/>
            <charset val="161"/>
          </rPr>
          <t>650,00€</t>
        </r>
        <r>
          <rPr>
            <sz val="9"/>
            <color indexed="81"/>
            <rFont val="Tahoma"/>
            <family val="2"/>
            <charset val="161"/>
          </rPr>
          <t>) και στο δεκαπλάσιο αυτού (δηλαδή -σήμερα- 10*650,00=</t>
        </r>
        <r>
          <rPr>
            <b/>
            <sz val="9"/>
            <color indexed="10"/>
            <rFont val="Tahoma"/>
            <family val="2"/>
            <charset val="161"/>
          </rPr>
          <t>6.500,00€</t>
        </r>
        <r>
          <rPr>
            <sz val="9"/>
            <color indexed="81"/>
            <rFont val="Tahoma"/>
            <family val="2"/>
            <charset val="16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Χάρης Παπαδόπουλος</author>
  </authors>
  <commentList>
    <comment ref="G5" authorId="0" shapeId="0" xr:uid="{00000000-0006-0000-0100-000001000000}">
      <text>
        <r>
          <rPr>
            <sz val="9"/>
            <color indexed="81"/>
            <rFont val="Tahoma"/>
            <family val="2"/>
            <charset val="161"/>
          </rPr>
          <t xml:space="preserve">• 7%* (01.06.2016–31.05.2019)
• 6,50%* (01.06.2019–31.05.2022)
• Όσο ήταν στις 31.12.2015 (≥01.06.2022)
* Με Υπουργική Απόφαση μπορεί να μειώνεται το ποσοστό μέχρι 31.05.2022 </t>
        </r>
      </text>
    </comment>
    <comment ref="H5" authorId="0" shapeId="0" xr:uid="{00000000-0006-0000-0100-000002000000}">
      <text>
        <r>
          <rPr>
            <sz val="9"/>
            <color indexed="81"/>
            <rFont val="Tahoma"/>
            <family val="2"/>
            <charset val="161"/>
          </rPr>
          <t xml:space="preserve">• 7%* (01.06.2016–31.05.2019)
• 6,50%* (01.06.2019–31.05.2022)
• Όσο ήταν στις 31.12.2015 (≥01.06.2022)
* Με Υπουργική Απόφαση μπορεί να μειώνεται το ποσοστό μέχρι 31.05.2022 </t>
        </r>
      </text>
    </comment>
    <comment ref="I5" authorId="0" shapeId="0" xr:uid="{00000000-0006-0000-0100-000003000000}">
      <text>
        <r>
          <rPr>
            <sz val="9"/>
            <color indexed="81"/>
            <rFont val="Tahoma"/>
            <family val="2"/>
            <charset val="161"/>
          </rPr>
          <t xml:space="preserve">• 7%* (01.06.2016–31.05.2019)
• 6,50%* (01.06.2019–31.05.2022)
• Όσο ήταν στις 31.12.2015 (≥01.06.2022)
* Με Υπουργική Απόφαση μπορεί να μειώνεται το ποσοστό μέχρι 31.05.2022 </t>
        </r>
      </text>
    </comment>
    <comment ref="J5" authorId="0" shapeId="0" xr:uid="{00000000-0006-0000-0100-000004000000}">
      <text>
        <r>
          <rPr>
            <sz val="9"/>
            <color indexed="81"/>
            <rFont val="Tahoma"/>
            <family val="2"/>
            <charset val="161"/>
          </rPr>
          <t xml:space="preserve">• 3,50%* (01.06.2016–31.05.2019)
• 3,25%* (01.06.2019–31.05.2022)
• Όσο ήταν στις 31.12.2015 (≥01.06.2022)
* Με Υπουργική Απόφαση μπορεί να μειώνεται το ποσοστό μέχρι 31.05.2022 </t>
        </r>
      </text>
    </comment>
    <comment ref="K5" authorId="0" shapeId="0" xr:uid="{00000000-0006-0000-0100-000005000000}">
      <text>
        <r>
          <rPr>
            <sz val="9"/>
            <color indexed="81"/>
            <rFont val="Tahoma"/>
            <family val="2"/>
            <charset val="161"/>
          </rPr>
          <t xml:space="preserve">• 3,50%* (01.06.2016–31.05.2019)
• 3,25%* (01.06.2019–31.05.2022)
• Όσο ήταν στις 31.12.2015 (≥01.06.2022)
* Με Υπουργική Απόφαση μπορεί να μειώνεται το ποσοστό μέχρι 31.05.2022 </t>
        </r>
      </text>
    </comment>
    <comment ref="L5" authorId="0" shapeId="0" xr:uid="{00000000-0006-0000-0100-000006000000}">
      <text>
        <r>
          <rPr>
            <sz val="9"/>
            <color indexed="81"/>
            <rFont val="Tahoma"/>
            <family val="2"/>
            <charset val="161"/>
          </rPr>
          <t xml:space="preserve">• 3,50%* (01.06.2016–31.05.2019)
• 3,25%* (01.06.2019–31.05.2022)
• Όσο ήταν στις 31.12.2015 (≥01.06.2022)
* Με Υπουργική Απόφαση μπορεί να μειώνεται το ποσοστό μέχρι 31.05.2022 </t>
        </r>
      </text>
    </comment>
    <comment ref="M5" authorId="0" shapeId="0" xr:uid="{00000000-0006-0000-0100-000007000000}">
      <text>
        <r>
          <rPr>
            <sz val="9"/>
            <color indexed="81"/>
            <rFont val="Tahoma"/>
            <family val="2"/>
            <charset val="161"/>
          </rPr>
          <t xml:space="preserve">• 3,50%* (01.06.2016–31.05.2019)
• 3,25%* (01.06.2019–31.05.2022)
• Όσο ήταν στις 31.12.2015 (≥01.06.2022)
* Με Υπουργική Απόφαση μπορεί να μειώνεται το ποσοστό μέχρι 31.05.2022 </t>
        </r>
      </text>
    </comment>
    <comment ref="N5" authorId="0" shapeId="0" xr:uid="{00000000-0006-0000-0100-000008000000}">
      <text>
        <r>
          <rPr>
            <sz val="9"/>
            <color indexed="81"/>
            <rFont val="Tahoma"/>
            <family val="2"/>
            <charset val="161"/>
          </rPr>
          <t xml:space="preserve">• 3,50%* (01.06.2016–31.05.2019)
• 3,25%* (01.06.2019–31.05.2022)
• Όσο ήταν στις 31.12.2015 (≥01.06.2022)
* Με Υπουργική Απόφαση μπορεί να μειώνεται το ποσοστό μέχρι 31.05.2022 </t>
        </r>
      </text>
    </comment>
    <comment ref="O5" authorId="0" shapeId="0" xr:uid="{00000000-0006-0000-0100-000009000000}">
      <text>
        <r>
          <rPr>
            <sz val="9"/>
            <color indexed="81"/>
            <rFont val="Tahoma"/>
            <family val="2"/>
            <charset val="161"/>
          </rPr>
          <t xml:space="preserve">• 3,50%* (01.06.2016–31.05.2019)
• 3,25%* (01.06.2019–31.05.2022)
• Όσο ήταν στις 31.12.2015 (≥01.06.2022)
* Με Υπουργική Απόφαση μπορεί να μειώνεται το ποσοστό μέχρι 31.05.2022 </t>
        </r>
      </text>
    </comment>
    <comment ref="G7" authorId="0" shapeId="0" xr:uid="{B68134B5-3654-4E77-BAEF-0C5E3D966CCD}">
      <text>
        <r>
          <rPr>
            <sz val="9"/>
            <color indexed="81"/>
            <rFont val="Tahoma"/>
            <family val="2"/>
            <charset val="161"/>
          </rPr>
          <t>1) Παροχές σε Είδος
2) Παροχές σε Χρήμα</t>
        </r>
      </text>
    </comment>
    <comment ref="H7" authorId="0" shapeId="0" xr:uid="{20513FBA-D882-4647-9791-47B27268B122}">
      <text>
        <r>
          <rPr>
            <sz val="9"/>
            <color indexed="81"/>
            <rFont val="Tahoma"/>
            <family val="2"/>
            <charset val="161"/>
          </rPr>
          <t>1) Παροχές σε Είδος
2) Παροχές σε Χρήμα</t>
        </r>
      </text>
    </comment>
    <comment ref="I7" authorId="0" shapeId="0" xr:uid="{222A5AD1-D2CE-4E0B-AD4B-D4F02525CA2A}">
      <text>
        <r>
          <rPr>
            <sz val="9"/>
            <color indexed="81"/>
            <rFont val="Tahoma"/>
            <family val="2"/>
            <charset val="161"/>
          </rPr>
          <t>1) Παροχές σε Είδος
2) Παροχές σε Χρήμα</t>
        </r>
      </text>
    </comment>
    <comment ref="J7" authorId="0" shapeId="0" xr:uid="{00000000-0006-0000-0100-00000A000000}">
      <text>
        <r>
          <rPr>
            <sz val="9"/>
            <color indexed="81"/>
            <rFont val="Tahoma"/>
            <family val="2"/>
            <charset val="161"/>
          </rPr>
          <t>1) Παροχές σε Είδος
2) Παροχές σε Χρήμα</t>
        </r>
      </text>
    </comment>
    <comment ref="K7" authorId="0" shapeId="0" xr:uid="{00000000-0006-0000-0100-00000B000000}">
      <text>
        <r>
          <rPr>
            <sz val="9"/>
            <color indexed="81"/>
            <rFont val="Tahoma"/>
            <family val="2"/>
            <charset val="161"/>
          </rPr>
          <t>1) Παροχές σε Είδος
2) Παροχές σε Χρήμα</t>
        </r>
      </text>
    </comment>
    <comment ref="L7" authorId="0" shapeId="0" xr:uid="{00000000-0006-0000-0100-00000C000000}">
      <text>
        <r>
          <rPr>
            <sz val="9"/>
            <color indexed="81"/>
            <rFont val="Tahoma"/>
            <family val="2"/>
            <charset val="161"/>
          </rPr>
          <t>1) Παροχές σε Είδος
2) Παροχές σε Χρήμα</t>
        </r>
      </text>
    </comment>
    <comment ref="M7" authorId="0" shapeId="0" xr:uid="{00000000-0006-0000-0100-00000D000000}">
      <text>
        <r>
          <rPr>
            <sz val="9"/>
            <color indexed="81"/>
            <rFont val="Tahoma"/>
            <family val="2"/>
            <charset val="161"/>
          </rPr>
          <t>1) Παροχές σε Είδος
2) Παροχές σε Χρήμα</t>
        </r>
      </text>
    </comment>
    <comment ref="N7" authorId="0" shapeId="0" xr:uid="{00000000-0006-0000-0100-00000E000000}">
      <text>
        <r>
          <rPr>
            <sz val="9"/>
            <color indexed="81"/>
            <rFont val="Tahoma"/>
            <family val="2"/>
            <charset val="161"/>
          </rPr>
          <t>1) Παροχές σε Είδος
2) Παροχές σε Χρήμα</t>
        </r>
      </text>
    </comment>
    <comment ref="O7" authorId="0" shapeId="0" xr:uid="{00000000-0006-0000-0100-00000F000000}">
      <text>
        <r>
          <rPr>
            <sz val="9"/>
            <color indexed="81"/>
            <rFont val="Tahoma"/>
            <family val="2"/>
            <charset val="161"/>
          </rPr>
          <t>1) Παροχές σε Είδος
2) Παροχές σε Χρήμα</t>
        </r>
      </text>
    </comment>
  </commentList>
</comments>
</file>

<file path=xl/sharedStrings.xml><?xml version="1.0" encoding="utf-8"?>
<sst xmlns="http://schemas.openxmlformats.org/spreadsheetml/2006/main" count="80" uniqueCount="57">
  <si>
    <t>Κατώτατος βασικός μισθός άγαμου μισθωτού άνω των 25 ετών =</t>
  </si>
  <si>
    <t>μείωση</t>
  </si>
  <si>
    <t>Εισόδημα (€)</t>
  </si>
  <si>
    <t>Περιγραφή</t>
  </si>
  <si>
    <t>≤ 2 ετών</t>
  </si>
  <si>
    <t>&gt; 5ετών</t>
  </si>
  <si>
    <t>≤ 5 ετών</t>
  </si>
  <si>
    <t>&gt;2 &amp; ≤ 5 ετών</t>
  </si>
  <si>
    <t>&gt; 5 ετών</t>
  </si>
  <si>
    <t>Ποσοστό</t>
  </si>
  <si>
    <t>max (€)</t>
  </si>
  <si>
    <r>
      <t xml:space="preserve">Κύρια Σύνταξη </t>
    </r>
    <r>
      <rPr>
        <sz val="11"/>
        <color theme="1"/>
        <rFont val="Calibri"/>
        <family val="2"/>
        <charset val="161"/>
        <scheme val="minor"/>
      </rPr>
      <t>(§2,  άρθρο 39)</t>
    </r>
  </si>
  <si>
    <r>
      <t xml:space="preserve">Επικουρική Σύνταξη 
</t>
    </r>
    <r>
      <rPr>
        <sz val="11"/>
        <color theme="1"/>
        <rFont val="Calibri"/>
        <family val="2"/>
        <charset val="161"/>
        <scheme val="minor"/>
      </rPr>
      <t>(§2 άρθρου 97)</t>
    </r>
  </si>
  <si>
    <r>
      <t xml:space="preserve">Εφάπαξ 
</t>
    </r>
    <r>
      <rPr>
        <sz val="11"/>
        <color theme="1"/>
        <rFont val="Calibri"/>
        <family val="2"/>
        <charset val="161"/>
        <scheme val="minor"/>
      </rPr>
      <t>(§2 άρθρου 35)</t>
    </r>
  </si>
  <si>
    <r>
      <t xml:space="preserve">Υγειονομική περίθαλψη 
</t>
    </r>
    <r>
      <rPr>
        <sz val="11"/>
        <color theme="1"/>
        <rFont val="Calibri"/>
        <family val="2"/>
        <charset val="161"/>
        <scheme val="minor"/>
      </rPr>
      <t>(§2 άρθρου 41)</t>
    </r>
  </si>
  <si>
    <r>
      <t xml:space="preserve">Μειωμένο εισόδημα
</t>
    </r>
    <r>
      <rPr>
        <sz val="11"/>
        <color theme="1"/>
        <rFont val="Calibri"/>
        <family val="2"/>
        <charset val="161"/>
        <scheme val="minor"/>
      </rPr>
      <t>(§1,  άρθρο 98)</t>
    </r>
  </si>
  <si>
    <r>
      <t xml:space="preserve">Κλιμάκιο εισοδήματος
</t>
    </r>
    <r>
      <rPr>
        <sz val="11"/>
        <color theme="1"/>
        <rFont val="Calibri"/>
        <family val="2"/>
        <charset val="161"/>
        <scheme val="minor"/>
      </rPr>
      <t>(§1, άρθρο 98)</t>
    </r>
  </si>
  <si>
    <r>
      <t xml:space="preserve">Yπέρ ταμείου ανέργων ΟΑΕΔ </t>
    </r>
    <r>
      <rPr>
        <sz val="11"/>
        <color theme="1"/>
        <rFont val="Calibri"/>
        <family val="2"/>
        <charset val="161"/>
        <scheme val="minor"/>
      </rPr>
      <t>(§12 άρθρου 39)</t>
    </r>
  </si>
  <si>
    <r>
      <t xml:space="preserve">Ποσοστό μείωσης εισφορών μέχρι 31.12.2020
</t>
    </r>
    <r>
      <rPr>
        <sz val="11"/>
        <color theme="1"/>
        <rFont val="Calibri"/>
        <family val="2"/>
        <charset val="161"/>
        <scheme val="minor"/>
      </rPr>
      <t>(§1,  άρθρο 98)</t>
    </r>
  </si>
  <si>
    <t>: Εφαρμογή μειωμένου εισοδήματος</t>
  </si>
  <si>
    <t>: Τελικές μηνιαίες εισφορές (€)</t>
  </si>
  <si>
    <r>
      <rPr>
        <b/>
        <sz val="11"/>
        <color indexed="8"/>
        <rFont val="Calibri"/>
        <family val="2"/>
        <charset val="161"/>
      </rPr>
      <t>Επικουρική Σύνταξη</t>
    </r>
    <r>
      <rPr>
        <sz val="10"/>
        <color indexed="8"/>
        <rFont val="Calibri"/>
        <family val="2"/>
        <charset val="161"/>
      </rPr>
      <t xml:space="preserve"> (§2 άρθρου 97)</t>
    </r>
  </si>
  <si>
    <r>
      <rPr>
        <b/>
        <sz val="11"/>
        <color indexed="8"/>
        <rFont val="Calibri"/>
        <family val="2"/>
        <charset val="161"/>
      </rPr>
      <t>Εφάπαξ</t>
    </r>
    <r>
      <rPr>
        <sz val="10"/>
        <color indexed="8"/>
        <rFont val="Calibri"/>
        <family val="2"/>
        <charset val="161"/>
      </rPr>
      <t xml:space="preserve"> (§2 άρθρου 35)</t>
    </r>
  </si>
  <si>
    <r>
      <rPr>
        <b/>
        <sz val="11"/>
        <color indexed="8"/>
        <rFont val="Calibri"/>
        <family val="2"/>
        <charset val="161"/>
      </rPr>
      <t>Υγειονομική περίθαλψη</t>
    </r>
    <r>
      <rPr>
        <sz val="10"/>
        <color indexed="8"/>
        <rFont val="Calibri"/>
        <family val="2"/>
        <charset val="161"/>
      </rPr>
      <t xml:space="preserve"> (§2 άρθρου 41)</t>
    </r>
  </si>
  <si>
    <t>Μηνιαίες εισφορές</t>
  </si>
  <si>
    <t>.</t>
  </si>
  <si>
    <t>Εργαζόμενου</t>
  </si>
  <si>
    <t>Εργοδότη</t>
  </si>
  <si>
    <r>
      <t>ΟΑΕΔ</t>
    </r>
    <r>
      <rPr>
        <sz val="10"/>
        <color indexed="8"/>
        <rFont val="Calibri"/>
        <family val="2"/>
        <charset val="161"/>
      </rPr>
      <t xml:space="preserve"> (§2 άρθρου 39)</t>
    </r>
  </si>
  <si>
    <r>
      <t xml:space="preserve">Ποσοστό του παραπάνω ποσού που ισχύει για μηχανικούς </t>
    </r>
    <r>
      <rPr>
        <sz val="10"/>
        <color indexed="8"/>
        <rFont val="Calibri"/>
        <family val="2"/>
        <charset val="161"/>
      </rPr>
      <t xml:space="preserve">(§3 άρθρου 39) </t>
    </r>
    <r>
      <rPr>
        <sz val="11"/>
        <color theme="1"/>
        <rFont val="Calibri"/>
        <family val="2"/>
        <charset val="161"/>
        <scheme val="minor"/>
      </rPr>
      <t>=</t>
    </r>
  </si>
  <si>
    <t>Ελεύθερου Επαγγελματία</t>
  </si>
  <si>
    <r>
      <rPr>
        <b/>
        <sz val="11"/>
        <color indexed="8"/>
        <rFont val="Calibri"/>
        <family val="2"/>
        <charset val="161"/>
      </rPr>
      <t>Καθαρό</t>
    </r>
    <r>
      <rPr>
        <sz val="11"/>
        <color theme="1"/>
        <rFont val="Calibri"/>
        <family val="2"/>
        <charset val="161"/>
        <scheme val="minor"/>
      </rPr>
      <t xml:space="preserve"> φορολογητέο </t>
    </r>
    <r>
      <rPr>
        <u/>
        <sz val="11"/>
        <color indexed="8"/>
        <rFont val="Calibri"/>
        <family val="2"/>
        <charset val="161"/>
      </rPr>
      <t>ετήσιο</t>
    </r>
    <r>
      <rPr>
        <sz val="11"/>
        <color theme="1"/>
        <rFont val="Calibri"/>
        <family val="2"/>
        <charset val="161"/>
        <scheme val="minor"/>
      </rPr>
      <t xml:space="preserve"> εισόδημα προηγούμενου έτους από την άσκηση της δραστηριότητας και </t>
    </r>
    <r>
      <rPr>
        <u/>
        <sz val="11"/>
        <color indexed="8"/>
        <rFont val="Calibri"/>
        <family val="2"/>
        <charset val="161"/>
      </rPr>
      <t>μόνο</t>
    </r>
  </si>
  <si>
    <r>
      <t xml:space="preserve">Υπέρ ταμείου ανέργων </t>
    </r>
    <r>
      <rPr>
        <b/>
        <sz val="11"/>
        <color indexed="8"/>
        <rFont val="Calibri"/>
        <family val="2"/>
        <charset val="161"/>
      </rPr>
      <t>ΟΑΕΔ</t>
    </r>
    <r>
      <rPr>
        <sz val="10"/>
        <color indexed="8"/>
        <rFont val="Calibri"/>
        <family val="2"/>
        <charset val="161"/>
      </rPr>
      <t xml:space="preserve"> (§12 άρθρου 39)</t>
    </r>
  </si>
  <si>
    <t>Καθαρό φορολογητέο ετήσιο εισόδημα που είχαμε το προηγούμενο έτος από την άσκηση της δραστηριότητας και μόνο</t>
  </si>
  <si>
    <r>
      <rPr>
        <b/>
        <sz val="11"/>
        <color indexed="8"/>
        <rFont val="Calibri"/>
        <family val="2"/>
        <charset val="161"/>
      </rPr>
      <t>Έτη</t>
    </r>
    <r>
      <rPr>
        <sz val="11"/>
        <color theme="1"/>
        <rFont val="Calibri"/>
        <family val="2"/>
        <charset val="161"/>
        <scheme val="minor"/>
      </rPr>
      <t xml:space="preserve"> από την πρώτη υπαγωγή στην ασφάλιση </t>
    </r>
    <r>
      <rPr>
        <sz val="11"/>
        <color indexed="60"/>
        <rFont val="Calibri"/>
        <family val="2"/>
        <charset val="161"/>
      </rPr>
      <t>(</t>
    </r>
    <r>
      <rPr>
        <b/>
        <sz val="11"/>
        <color indexed="60"/>
        <rFont val="Calibri"/>
        <family val="2"/>
        <charset val="161"/>
      </rPr>
      <t>ΠΡΟΣΟΧΗ!</t>
    </r>
    <r>
      <rPr>
        <sz val="11"/>
        <color indexed="60"/>
        <rFont val="Calibri"/>
        <family val="2"/>
        <charset val="161"/>
      </rPr>
      <t xml:space="preserve"> Βλ. σημείωση στα δεξιά της οθόνης)</t>
    </r>
    <r>
      <rPr>
        <sz val="11"/>
        <color theme="1"/>
        <rFont val="Calibri"/>
        <family val="2"/>
        <charset val="161"/>
        <scheme val="minor"/>
      </rPr>
      <t xml:space="preserve"> :</t>
    </r>
  </si>
  <si>
    <t>ΜΗΝΙΑΙΕΣ ΑΣΦΑΛΙΣΤΙΚΕΣ ΕΙΣΦΟΡΕΣ ΜΙΣΘΩΤΟΥ ΜΗΧΑΝΙΚΟΥ</t>
  </si>
  <si>
    <t>Μισθωτός</t>
  </si>
  <si>
    <t>Εργοδότης</t>
  </si>
  <si>
    <t>ΣΥΝΟΛΑ</t>
  </si>
  <si>
    <t>ΣΥΝΟΛΑ =</t>
  </si>
  <si>
    <t>min (€)</t>
  </si>
  <si>
    <t>Ποσοστά</t>
  </si>
  <si>
    <r>
      <t xml:space="preserve">ΣΥΝΟΛΟ </t>
    </r>
    <r>
      <rPr>
        <b/>
        <u/>
        <sz val="11"/>
        <color indexed="8"/>
        <rFont val="Calibri"/>
        <family val="2"/>
        <charset val="161"/>
      </rPr>
      <t>ΜΗΝΙΑΙΩΝ</t>
    </r>
    <r>
      <rPr>
        <b/>
        <sz val="11"/>
        <color indexed="8"/>
        <rFont val="Calibri"/>
        <family val="2"/>
        <charset val="161"/>
      </rPr>
      <t xml:space="preserve"> ΕΙΣΦΟΡΩΝ </t>
    </r>
    <r>
      <rPr>
        <b/>
        <u/>
        <sz val="11"/>
        <color indexed="8"/>
        <rFont val="Calibri"/>
        <family val="2"/>
        <charset val="161"/>
      </rPr>
      <t>ΜΙΣΘΩΤΟΥ</t>
    </r>
    <r>
      <rPr>
        <b/>
        <sz val="11"/>
        <color indexed="8"/>
        <rFont val="Calibri"/>
        <family val="2"/>
        <charset val="161"/>
      </rPr>
      <t xml:space="preserve"> ΜΗΧΑΝΙΚΟΥ</t>
    </r>
  </si>
  <si>
    <r>
      <t>Μειωμένο Εισόδημα</t>
    </r>
    <r>
      <rPr>
        <sz val="10"/>
        <color indexed="8"/>
        <rFont val="Calibri"/>
        <family val="2"/>
        <charset val="161"/>
      </rPr>
      <t xml:space="preserve">
(§1, άρθρο 98)</t>
    </r>
  </si>
  <si>
    <t>Μηνιαίες 
Eισφορές</t>
  </si>
  <si>
    <t>Οφειλή (€)
κάτω 5ετίας</t>
  </si>
  <si>
    <r>
      <t xml:space="preserve">ΣΥΝΟΛΟ </t>
    </r>
    <r>
      <rPr>
        <b/>
        <u/>
        <sz val="14"/>
        <color indexed="8"/>
        <rFont val="Calibri"/>
        <family val="2"/>
        <charset val="161"/>
      </rPr>
      <t>ΜΗΝΙΑΙΩΝ</t>
    </r>
    <r>
      <rPr>
        <b/>
        <sz val="11"/>
        <color indexed="8"/>
        <rFont val="Calibri"/>
        <family val="2"/>
        <charset val="161"/>
      </rPr>
      <t xml:space="preserve"> ΕΙΣΦΟΡΩΝ </t>
    </r>
    <r>
      <rPr>
        <b/>
        <u/>
        <sz val="11"/>
        <color indexed="8"/>
        <rFont val="Calibri"/>
        <family val="2"/>
        <charset val="161"/>
      </rPr>
      <t>ΕΛΕΥΘΕΡΟΥ ΕΠΑΓΓΕΛΜΑΤΙΑ</t>
    </r>
    <r>
      <rPr>
        <b/>
        <sz val="11"/>
        <color indexed="8"/>
        <rFont val="Calibri"/>
        <family val="2"/>
        <charset val="161"/>
      </rPr>
      <t xml:space="preserve"> ΜΗΧΑΝΙΚΟΥ</t>
    </r>
  </si>
  <si>
    <r>
      <t xml:space="preserve">ΣΥΝΟΛΟ </t>
    </r>
    <r>
      <rPr>
        <b/>
        <u/>
        <sz val="14"/>
        <color indexed="8"/>
        <rFont val="Calibri"/>
        <family val="2"/>
        <charset val="161"/>
      </rPr>
      <t>ΕΤΗΣΙΩΝ</t>
    </r>
    <r>
      <rPr>
        <b/>
        <sz val="11"/>
        <color indexed="8"/>
        <rFont val="Calibri"/>
        <family val="2"/>
        <charset val="161"/>
      </rPr>
      <t xml:space="preserve"> ΕΙΣΦΟΡΩΝ </t>
    </r>
    <r>
      <rPr>
        <b/>
        <u/>
        <sz val="11"/>
        <color indexed="8"/>
        <rFont val="Calibri"/>
        <family val="2"/>
        <charset val="161"/>
      </rPr>
      <t>ΕΛΕΥΘΕΡΟΥ ΕΠΑΓΓΕΛΜΑΤΙΑ</t>
    </r>
    <r>
      <rPr>
        <b/>
        <sz val="11"/>
        <color indexed="8"/>
        <rFont val="Calibri"/>
        <family val="2"/>
        <charset val="161"/>
      </rPr>
      <t xml:space="preserve"> ΜΗΧΑΝΙΚΟΥ</t>
    </r>
  </si>
  <si>
    <t>: max (€)</t>
  </si>
  <si>
    <r>
      <t>Κύρια Σύνταξη</t>
    </r>
    <r>
      <rPr>
        <sz val="10"/>
        <color indexed="8"/>
        <rFont val="Calibri"/>
        <family val="2"/>
        <charset val="161"/>
      </rPr>
      <t xml:space="preserve"> (§1 άρθρου 39)</t>
    </r>
  </si>
  <si>
    <r>
      <t xml:space="preserve">min Κύριας Σύνταξης </t>
    </r>
    <r>
      <rPr>
        <sz val="10"/>
        <color theme="1"/>
        <rFont val="Calibri"/>
        <family val="2"/>
        <charset val="161"/>
        <scheme val="minor"/>
      </rPr>
      <t>(§3 άρθρου 39)</t>
    </r>
    <r>
      <rPr>
        <sz val="11"/>
        <color theme="1"/>
        <rFont val="Calibri"/>
        <family val="2"/>
        <charset val="161"/>
        <scheme val="minor"/>
      </rPr>
      <t xml:space="preserve"> επί του κατώτατου βασικού μισθού άγαμου μισθωτού &gt;25 ετών =</t>
    </r>
  </si>
  <si>
    <r>
      <rPr>
        <b/>
        <sz val="11"/>
        <color indexed="8"/>
        <rFont val="Calibri"/>
        <family val="2"/>
        <charset val="161"/>
      </rPr>
      <t>ΕΦΚΑ - Υγειονομική περίθαλψη</t>
    </r>
    <r>
      <rPr>
        <sz val="10"/>
        <color indexed="8"/>
        <rFont val="Calibri"/>
        <family val="2"/>
        <charset val="161"/>
      </rPr>
      <t xml:space="preserve"> (§2 άρθρου 41)</t>
    </r>
  </si>
  <si>
    <r>
      <rPr>
        <b/>
        <sz val="11"/>
        <color indexed="8"/>
        <rFont val="Calibri"/>
        <family val="2"/>
        <charset val="161"/>
      </rPr>
      <t>ΕΤΕΑΕΠ - Εφάπαξ</t>
    </r>
    <r>
      <rPr>
        <sz val="10"/>
        <color indexed="8"/>
        <rFont val="Calibri"/>
        <family val="2"/>
        <charset val="161"/>
      </rPr>
      <t xml:space="preserve"> (§2 άρθρου 35)</t>
    </r>
  </si>
  <si>
    <r>
      <rPr>
        <b/>
        <sz val="11"/>
        <color indexed="8"/>
        <rFont val="Calibri"/>
        <family val="2"/>
        <charset val="161"/>
      </rPr>
      <t>ΕΤΕΑΕΠ - Επικουρική Σύνταξη</t>
    </r>
    <r>
      <rPr>
        <sz val="10"/>
        <color indexed="8"/>
        <rFont val="Calibri"/>
        <family val="2"/>
        <charset val="161"/>
      </rPr>
      <t xml:space="preserve"> (§2 άρθρου 97)</t>
    </r>
  </si>
  <si>
    <r>
      <t>ΕΦΚΑ - Κύρια Σύνταξη</t>
    </r>
    <r>
      <rPr>
        <sz val="10"/>
        <color indexed="8"/>
        <rFont val="Calibri"/>
        <family val="2"/>
        <charset val="161"/>
      </rPr>
      <t xml:space="preserve"> (§1 άρθρου 39)</t>
    </r>
  </si>
  <si>
    <r>
      <t>Κύρια Σύνταξη</t>
    </r>
    <r>
      <rPr>
        <sz val="10"/>
        <color indexed="8"/>
        <rFont val="Calibri"/>
        <family val="2"/>
        <charset val="161"/>
      </rPr>
      <t xml:space="preserve"> (§1 άρθρου 38)</t>
    </r>
  </si>
  <si>
    <t>Μισθοί ανά έτος (12 ή 14 ή ό,τι άλλο)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</si>
</sst>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_(&quot;€&quot;* #,##0.00_);_(&quot;€&quot;* \(#,##0.00\);_(&quot;€&quot;* &quot;-&quot;??_);_(@_)"/>
    <numFmt numFmtId="166" formatCode="#,##0.00_ ;\-#,##0.00\ "/>
    <numFmt numFmtId="167" formatCode="#,##0.00\ &quot;€&quot;"/>
    <numFmt numFmtId="168" formatCode="[=0]\ &quot;&quot;;#,##0.00"/>
    <numFmt numFmtId="169" formatCode="@*.\ \="/>
    <numFmt numFmtId="170" formatCode="#,##0.00\ [$€-408];\-#,##0.00\ [$€-408]"/>
    <numFmt numFmtId="171" formatCode="[=0]&quot;&quot;;#,##0.00\ &quot;€&quot;"/>
  </numFmts>
  <fonts count="43" x14ac:knownFonts="1">
    <font>
      <sz val="11"/>
      <color theme="1"/>
      <name val="Calibri"/>
      <family val="2"/>
      <charset val="161"/>
      <scheme val="minor"/>
    </font>
    <font>
      <b/>
      <sz val="11"/>
      <color indexed="8"/>
      <name val="Calibri"/>
      <family val="2"/>
      <charset val="161"/>
    </font>
    <font>
      <u/>
      <sz val="11"/>
      <color indexed="8"/>
      <name val="Calibri"/>
      <family val="2"/>
      <charset val="161"/>
    </font>
    <font>
      <sz val="9"/>
      <color indexed="81"/>
      <name val="Tahoma"/>
      <family val="2"/>
      <charset val="161"/>
    </font>
    <font>
      <b/>
      <sz val="9"/>
      <color indexed="81"/>
      <name val="Tahoma"/>
      <family val="2"/>
      <charset val="161"/>
    </font>
    <font>
      <u/>
      <sz val="9"/>
      <color indexed="81"/>
      <name val="Tahoma"/>
      <family val="2"/>
      <charset val="161"/>
    </font>
    <font>
      <sz val="10"/>
      <color indexed="8"/>
      <name val="Calibri"/>
      <family val="2"/>
      <charset val="161"/>
    </font>
    <font>
      <b/>
      <u/>
      <sz val="9"/>
      <color indexed="81"/>
      <name val="Tahoma"/>
      <family val="2"/>
      <charset val="161"/>
    </font>
    <font>
      <b/>
      <sz val="9"/>
      <color indexed="10"/>
      <name val="Tahoma"/>
      <family val="2"/>
      <charset val="161"/>
    </font>
    <font>
      <sz val="11"/>
      <color indexed="60"/>
      <name val="Calibri"/>
      <family val="2"/>
      <charset val="161"/>
    </font>
    <font>
      <b/>
      <sz val="11"/>
      <color indexed="60"/>
      <name val="Calibri"/>
      <family val="2"/>
      <charset val="161"/>
    </font>
    <font>
      <b/>
      <u/>
      <sz val="11"/>
      <color indexed="8"/>
      <name val="Calibri"/>
      <family val="2"/>
      <charset val="161"/>
    </font>
    <font>
      <u/>
      <sz val="9"/>
      <color indexed="12"/>
      <name val="Tahoma"/>
      <family val="2"/>
      <charset val="161"/>
    </font>
    <font>
      <b/>
      <sz val="11"/>
      <color indexed="81"/>
      <name val="Tahoma"/>
      <family val="2"/>
      <charset val="161"/>
    </font>
    <font>
      <u/>
      <sz val="9"/>
      <color indexed="17"/>
      <name val="Tahoma"/>
      <family val="2"/>
      <charset val="161"/>
    </font>
    <font>
      <b/>
      <sz val="12"/>
      <color indexed="81"/>
      <name val="Tahoma"/>
      <family val="2"/>
      <charset val="161"/>
    </font>
    <font>
      <b/>
      <u/>
      <sz val="9"/>
      <color indexed="10"/>
      <name val="Tahoma"/>
      <family val="2"/>
      <charset val="161"/>
    </font>
    <font>
      <b/>
      <u/>
      <sz val="14"/>
      <color indexed="8"/>
      <name val="Calibri"/>
      <family val="2"/>
      <charset val="161"/>
    </font>
    <font>
      <sz val="11"/>
      <color theme="1"/>
      <name val="Calibri"/>
      <family val="2"/>
      <charset val="161"/>
      <scheme val="minor"/>
    </font>
    <font>
      <b/>
      <sz val="11"/>
      <color theme="1"/>
      <name val="Calibri"/>
      <family val="2"/>
      <charset val="161"/>
      <scheme val="minor"/>
    </font>
    <font>
      <sz val="11"/>
      <color rgb="FF0000FF"/>
      <name val="Calibri"/>
      <family val="2"/>
      <charset val="161"/>
      <scheme val="minor"/>
    </font>
    <font>
      <sz val="11"/>
      <color rgb="FF008000"/>
      <name val="Calibri"/>
      <family val="2"/>
      <charset val="161"/>
      <scheme val="minor"/>
    </font>
    <font>
      <b/>
      <sz val="11"/>
      <color theme="1"/>
      <name val="Calibri"/>
      <family val="2"/>
      <charset val="161"/>
    </font>
    <font>
      <i/>
      <sz val="10"/>
      <color rgb="FF0000FF"/>
      <name val="Calibri"/>
      <family val="2"/>
      <charset val="161"/>
      <scheme val="minor"/>
    </font>
    <font>
      <b/>
      <sz val="11"/>
      <color rgb="FF0000FF"/>
      <name val="Calibri"/>
      <family val="2"/>
      <charset val="161"/>
      <scheme val="minor"/>
    </font>
    <font>
      <b/>
      <sz val="12"/>
      <color rgb="FF0000FF"/>
      <name val="Calibri"/>
      <family val="2"/>
      <charset val="161"/>
      <scheme val="minor"/>
    </font>
    <font>
      <b/>
      <sz val="14"/>
      <color theme="0"/>
      <name val="Calibri"/>
      <family val="2"/>
      <charset val="161"/>
      <scheme val="minor"/>
    </font>
    <font>
      <sz val="10"/>
      <color rgb="FF0000FF"/>
      <name val="Calibri"/>
      <family val="2"/>
      <charset val="161"/>
      <scheme val="minor"/>
    </font>
    <font>
      <b/>
      <sz val="10"/>
      <color theme="0"/>
      <name val="Calibri"/>
      <family val="2"/>
      <charset val="161"/>
      <scheme val="minor"/>
    </font>
    <font>
      <sz val="12"/>
      <color rgb="FF0000FF"/>
      <name val="Calibri"/>
      <family val="2"/>
      <charset val="161"/>
      <scheme val="minor"/>
    </font>
    <font>
      <sz val="10"/>
      <name val="Calibri"/>
      <family val="2"/>
      <charset val="161"/>
      <scheme val="minor"/>
    </font>
    <font>
      <b/>
      <i/>
      <sz val="10"/>
      <color rgb="FF0000FF"/>
      <name val="Calibri"/>
      <family val="2"/>
      <charset val="161"/>
      <scheme val="minor"/>
    </font>
    <font>
      <b/>
      <sz val="10"/>
      <color theme="1"/>
      <name val="Calibri"/>
      <family val="2"/>
      <charset val="161"/>
      <scheme val="minor"/>
    </font>
    <font>
      <b/>
      <sz val="14"/>
      <color rgb="FF0000FF"/>
      <name val="Calibri"/>
      <family val="2"/>
      <charset val="161"/>
      <scheme val="minor"/>
    </font>
    <font>
      <b/>
      <sz val="11"/>
      <color rgb="FF008000"/>
      <name val="Calibri"/>
      <family val="2"/>
      <charset val="161"/>
      <scheme val="minor"/>
    </font>
    <font>
      <b/>
      <sz val="11"/>
      <name val="Calibri"/>
      <family val="2"/>
      <charset val="161"/>
      <scheme val="minor"/>
    </font>
    <font>
      <b/>
      <sz val="12"/>
      <color theme="0"/>
      <name val="Calibri"/>
      <family val="2"/>
      <charset val="161"/>
      <scheme val="minor"/>
    </font>
    <font>
      <sz val="10"/>
      <color theme="1"/>
      <name val="Calibri"/>
      <family val="2"/>
      <charset val="161"/>
      <scheme val="minor"/>
    </font>
    <font>
      <sz val="8"/>
      <color rgb="FF000000"/>
      <name val="Tahoma"/>
      <family val="2"/>
      <charset val="161"/>
    </font>
    <font>
      <sz val="9"/>
      <color indexed="10"/>
      <name val="Tahoma"/>
      <family val="2"/>
      <charset val="161"/>
    </font>
    <font>
      <sz val="11"/>
      <color indexed="8"/>
      <name val="Calibri"/>
      <family val="2"/>
      <charset val="161"/>
    </font>
    <font>
      <i/>
      <sz val="9"/>
      <color indexed="81"/>
      <name val="Tahoma"/>
      <family val="2"/>
      <charset val="161"/>
    </font>
    <font>
      <b/>
      <i/>
      <sz val="9"/>
      <color indexed="81"/>
      <name val="Tahoma"/>
      <family val="2"/>
      <charset val="161"/>
    </font>
  </fonts>
  <fills count="16">
    <fill>
      <patternFill patternType="none"/>
    </fill>
    <fill>
      <patternFill patternType="gray125"/>
    </fill>
    <fill>
      <patternFill patternType="solid">
        <fgColor theme="3" tint="-0.49998474074526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39997558519241921"/>
        <bgColor indexed="64"/>
      </patternFill>
    </fill>
  </fills>
  <borders count="216">
    <border>
      <left/>
      <right/>
      <top/>
      <bottom/>
      <diagonal/>
    </border>
    <border>
      <left style="medium">
        <color indexed="64"/>
      </left>
      <right/>
      <top/>
      <bottom style="double">
        <color indexed="64"/>
      </bottom>
      <diagonal/>
    </border>
    <border>
      <left style="dotted">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style="thin">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style="dotted">
        <color indexed="64"/>
      </left>
      <right style="dotted">
        <color indexed="64"/>
      </right>
      <top style="medium">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bottom style="double">
        <color indexed="64"/>
      </bottom>
      <diagonal/>
    </border>
    <border>
      <left style="double">
        <color indexed="64"/>
      </left>
      <right style="medium">
        <color indexed="64"/>
      </right>
      <top style="thin">
        <color indexed="64"/>
      </top>
      <bottom style="thin">
        <color indexed="64"/>
      </bottom>
      <diagonal/>
    </border>
    <border>
      <left style="dotted">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thin">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uble">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uble">
        <color indexed="64"/>
      </left>
      <right/>
      <top/>
      <bottom style="hair">
        <color indexed="64"/>
      </bottom>
      <diagonal/>
    </border>
    <border>
      <left style="dotted">
        <color indexed="64"/>
      </left>
      <right style="double">
        <color indexed="64"/>
      </right>
      <top/>
      <bottom style="hair">
        <color indexed="64"/>
      </bottom>
      <diagonal/>
    </border>
    <border>
      <left style="double">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double">
        <color indexed="64"/>
      </left>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uble">
        <color indexed="64"/>
      </left>
      <right/>
      <top style="hair">
        <color indexed="64"/>
      </top>
      <bottom style="medium">
        <color indexed="64"/>
      </bottom>
      <diagonal/>
    </border>
    <border>
      <left style="dotted">
        <color indexed="64"/>
      </left>
      <right style="double">
        <color indexed="64"/>
      </right>
      <top style="hair">
        <color indexed="64"/>
      </top>
      <bottom style="medium">
        <color indexed="64"/>
      </bottom>
      <diagonal/>
    </border>
    <border>
      <left style="double">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right style="medium">
        <color indexed="64"/>
      </right>
      <top style="double">
        <color indexed="64"/>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dotted">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double">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tted">
        <color indexed="64"/>
      </right>
      <top style="double">
        <color indexed="64"/>
      </top>
      <bottom style="double">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medium">
        <color indexed="64"/>
      </bottom>
      <diagonal/>
    </border>
    <border>
      <left style="medium">
        <color indexed="64"/>
      </left>
      <right/>
      <top/>
      <bottom style="hair">
        <color indexed="64"/>
      </bottom>
      <diagonal/>
    </border>
    <border>
      <left style="double">
        <color indexed="64"/>
      </left>
      <right style="dotted">
        <color indexed="64"/>
      </right>
      <top style="medium">
        <color indexed="64"/>
      </top>
      <bottom style="hair">
        <color indexed="64"/>
      </bottom>
      <diagonal/>
    </border>
    <border>
      <left style="double">
        <color indexed="64"/>
      </left>
      <right style="dotted">
        <color indexed="64"/>
      </right>
      <top/>
      <bottom style="thin">
        <color indexed="64"/>
      </bottom>
      <diagonal/>
    </border>
    <border>
      <left style="double">
        <color indexed="64"/>
      </left>
      <right style="dotted">
        <color indexed="64"/>
      </right>
      <top/>
      <bottom style="double">
        <color indexed="64"/>
      </bottom>
      <diagonal/>
    </border>
    <border>
      <left style="double">
        <color indexed="64"/>
      </left>
      <right style="dotted">
        <color indexed="64"/>
      </right>
      <top style="double">
        <color indexed="64"/>
      </top>
      <bottom style="thin">
        <color indexed="64"/>
      </bottom>
      <diagonal/>
    </border>
    <border>
      <left style="double">
        <color indexed="64"/>
      </left>
      <right style="dotted">
        <color indexed="64"/>
      </right>
      <top style="thin">
        <color indexed="64"/>
      </top>
      <bottom style="hair">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style="double">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double">
        <color indexed="64"/>
      </left>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style="double">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tted">
        <color indexed="64"/>
      </left>
      <right style="thin">
        <color indexed="64"/>
      </right>
      <top/>
      <bottom/>
      <diagonal/>
    </border>
    <border>
      <left style="hair">
        <color indexed="64"/>
      </left>
      <right style="dotted">
        <color indexed="64"/>
      </right>
      <top style="thin">
        <color indexed="64"/>
      </top>
      <bottom/>
      <diagonal/>
    </border>
    <border>
      <left style="hair">
        <color indexed="64"/>
      </left>
      <right style="dotted">
        <color indexed="64"/>
      </right>
      <top style="double">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bottom/>
      <diagonal/>
    </border>
    <border>
      <left style="hair">
        <color indexed="64"/>
      </left>
      <right style="dotted">
        <color indexed="64"/>
      </right>
      <top style="thin">
        <color indexed="64"/>
      </top>
      <bottom style="double">
        <color indexed="64"/>
      </bottom>
      <diagonal/>
    </border>
    <border>
      <left style="hair">
        <color indexed="64"/>
      </left>
      <right/>
      <top style="thin">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style="double">
        <color indexed="64"/>
      </bottom>
      <diagonal/>
    </border>
    <border>
      <left style="hair">
        <color indexed="64"/>
      </left>
      <right/>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dotted">
        <color indexed="64"/>
      </right>
      <top style="medium">
        <color indexed="64"/>
      </top>
      <bottom/>
      <diagonal/>
    </border>
    <border>
      <left style="double">
        <color indexed="64"/>
      </left>
      <right style="dotted">
        <color indexed="64"/>
      </right>
      <top/>
      <bottom/>
      <diagonal/>
    </border>
    <border>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double">
        <color indexed="64"/>
      </bottom>
      <diagonal/>
    </border>
  </borders>
  <cellStyleXfs count="3">
    <xf numFmtId="0" fontId="0" fillId="0" borderId="0"/>
    <xf numFmtId="165" fontId="18" fillId="0" borderId="0" applyFont="0" applyFill="0" applyBorder="0" applyAlignment="0" applyProtection="0"/>
    <xf numFmtId="9" fontId="18" fillId="0" borderId="0" applyFont="0" applyFill="0" applyBorder="0" applyAlignment="0" applyProtection="0"/>
  </cellStyleXfs>
  <cellXfs count="325">
    <xf numFmtId="0" fontId="0" fillId="0" borderId="0" xfId="0"/>
    <xf numFmtId="0" fontId="0" fillId="2" borderId="0" xfId="0" applyFill="1" applyAlignment="1">
      <alignment horizontal="center" vertical="center"/>
    </xf>
    <xf numFmtId="0" fontId="0" fillId="0" borderId="0" xfId="0" applyAlignment="1">
      <alignment horizontal="left" vertical="center"/>
    </xf>
    <xf numFmtId="0" fontId="0" fillId="2" borderId="0" xfId="0" applyFill="1" applyAlignment="1">
      <alignment horizontal="left" vertical="center"/>
    </xf>
    <xf numFmtId="4" fontId="20" fillId="0" borderId="0" xfId="0" applyNumberFormat="1" applyFont="1" applyAlignment="1">
      <alignment horizontal="center" vertical="center"/>
    </xf>
    <xf numFmtId="0" fontId="21" fillId="3" borderId="0" xfId="0" applyFont="1" applyFill="1" applyAlignment="1" applyProtection="1">
      <alignment horizontal="center" vertical="center"/>
      <protection locked="0"/>
    </xf>
    <xf numFmtId="0" fontId="19" fillId="4" borderId="1" xfId="0" applyFont="1" applyFill="1" applyBorder="1" applyAlignment="1">
      <alignment horizontal="center" vertical="center"/>
    </xf>
    <xf numFmtId="0" fontId="22" fillId="4" borderId="2" xfId="0" applyFont="1" applyFill="1" applyBorder="1" applyAlignment="1">
      <alignment horizontal="center" vertical="center"/>
    </xf>
    <xf numFmtId="0" fontId="0" fillId="5" borderId="3" xfId="0" applyFill="1" applyBorder="1" applyAlignment="1">
      <alignment horizontal="left" vertical="center"/>
    </xf>
    <xf numFmtId="165" fontId="20" fillId="5" borderId="4" xfId="1" applyFont="1" applyFill="1" applyBorder="1" applyAlignment="1">
      <alignment horizontal="center" vertical="center"/>
    </xf>
    <xf numFmtId="0" fontId="0" fillId="5" borderId="5" xfId="0" applyFill="1" applyBorder="1" applyAlignment="1">
      <alignment horizontal="left" vertical="center" indent="1"/>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0" fillId="7" borderId="8" xfId="0" applyFill="1" applyBorder="1" applyAlignment="1">
      <alignment horizontal="left" vertical="center" indent="1"/>
    </xf>
    <xf numFmtId="0" fontId="19" fillId="6" borderId="9" xfId="0" applyFont="1" applyFill="1" applyBorder="1" applyAlignment="1">
      <alignment horizontal="center" vertical="center"/>
    </xf>
    <xf numFmtId="0" fontId="0" fillId="8" borderId="10" xfId="0" applyFill="1" applyBorder="1" applyAlignment="1">
      <alignment horizontal="left" vertical="center"/>
    </xf>
    <xf numFmtId="0" fontId="0" fillId="8" borderId="11" xfId="0" applyFill="1" applyBorder="1" applyAlignment="1">
      <alignment horizontal="left" vertical="center"/>
    </xf>
    <xf numFmtId="0" fontId="0" fillId="8" borderId="12" xfId="0" applyFill="1" applyBorder="1" applyAlignment="1">
      <alignment horizontal="left" vertical="center"/>
    </xf>
    <xf numFmtId="0" fontId="0" fillId="8" borderId="13" xfId="0" applyFill="1" applyBorder="1" applyAlignment="1">
      <alignment horizontal="left" vertical="center"/>
    </xf>
    <xf numFmtId="166" fontId="23" fillId="7" borderId="14" xfId="1" applyNumberFormat="1" applyFont="1" applyFill="1" applyBorder="1" applyAlignment="1">
      <alignment horizontal="center" vertical="center"/>
    </xf>
    <xf numFmtId="0" fontId="19" fillId="7" borderId="15" xfId="0" applyFont="1" applyFill="1" applyBorder="1" applyAlignment="1">
      <alignment horizontal="center" vertical="center" wrapText="1"/>
    </xf>
    <xf numFmtId="10" fontId="24" fillId="7" borderId="16" xfId="0" applyNumberFormat="1" applyFont="1" applyFill="1" applyBorder="1" applyAlignment="1">
      <alignment horizontal="center" vertical="center" wrapText="1"/>
    </xf>
    <xf numFmtId="10" fontId="24" fillId="7" borderId="17" xfId="0" applyNumberFormat="1" applyFont="1" applyFill="1" applyBorder="1" applyAlignment="1">
      <alignment horizontal="center" vertical="center" wrapText="1"/>
    </xf>
    <xf numFmtId="166" fontId="24" fillId="7" borderId="18" xfId="0" applyNumberFormat="1" applyFont="1" applyFill="1" applyBorder="1" applyAlignment="1">
      <alignment horizontal="center" vertical="center"/>
    </xf>
    <xf numFmtId="10" fontId="25" fillId="9" borderId="19" xfId="0" applyNumberFormat="1"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10" fontId="24" fillId="7" borderId="22" xfId="0" applyNumberFormat="1" applyFont="1" applyFill="1" applyBorder="1" applyAlignment="1">
      <alignment horizontal="center" vertical="center" wrapText="1"/>
    </xf>
    <xf numFmtId="166" fontId="24" fillId="7" borderId="23" xfId="0" applyNumberFormat="1" applyFont="1" applyFill="1" applyBorder="1" applyAlignment="1">
      <alignment horizontal="center" vertical="center"/>
    </xf>
    <xf numFmtId="166" fontId="24" fillId="7" borderId="24" xfId="0" applyNumberFormat="1" applyFont="1" applyFill="1" applyBorder="1" applyAlignment="1">
      <alignment horizontal="center" vertical="center"/>
    </xf>
    <xf numFmtId="166" fontId="24" fillId="10" borderId="25" xfId="0" applyNumberFormat="1" applyFont="1" applyFill="1" applyBorder="1" applyAlignment="1">
      <alignment horizontal="center" vertical="center"/>
    </xf>
    <xf numFmtId="166" fontId="24" fillId="7" borderId="26" xfId="0" applyNumberFormat="1" applyFont="1" applyFill="1" applyBorder="1" applyAlignment="1">
      <alignment horizontal="center" vertical="center"/>
    </xf>
    <xf numFmtId="166" fontId="23" fillId="7" borderId="27" xfId="0" applyNumberFormat="1" applyFont="1" applyFill="1" applyBorder="1" applyAlignment="1">
      <alignment horizontal="center" vertical="center"/>
    </xf>
    <xf numFmtId="166" fontId="23" fillId="7" borderId="28" xfId="0" applyNumberFormat="1" applyFont="1" applyFill="1" applyBorder="1" applyAlignment="1">
      <alignment horizontal="center" vertical="center"/>
    </xf>
    <xf numFmtId="166" fontId="23" fillId="7" borderId="23" xfId="0" applyNumberFormat="1" applyFont="1" applyFill="1" applyBorder="1" applyAlignment="1">
      <alignment horizontal="center" vertical="center"/>
    </xf>
    <xf numFmtId="166" fontId="23" fillId="7" borderId="24" xfId="0" applyNumberFormat="1" applyFont="1" applyFill="1" applyBorder="1" applyAlignment="1">
      <alignment horizontal="center" vertical="center"/>
    </xf>
    <xf numFmtId="167" fontId="26" fillId="11" borderId="29" xfId="0" applyNumberFormat="1" applyFont="1" applyFill="1" applyBorder="1" applyAlignment="1">
      <alignment horizontal="center" vertical="center"/>
    </xf>
    <xf numFmtId="166" fontId="20" fillId="7" borderId="14" xfId="1" applyNumberFormat="1" applyFont="1" applyFill="1" applyBorder="1" applyAlignment="1">
      <alignment horizontal="center"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166" fontId="23" fillId="7" borderId="34" xfId="0" applyNumberFormat="1" applyFont="1" applyFill="1" applyBorder="1" applyAlignment="1">
      <alignment horizontal="center" vertical="center"/>
    </xf>
    <xf numFmtId="166" fontId="23" fillId="7" borderId="35" xfId="0" applyNumberFormat="1" applyFont="1" applyFill="1" applyBorder="1" applyAlignment="1">
      <alignment horizontal="center" vertical="center"/>
    </xf>
    <xf numFmtId="166" fontId="20" fillId="7" borderId="36" xfId="0" applyNumberFormat="1" applyFont="1" applyFill="1" applyBorder="1" applyAlignment="1">
      <alignment horizontal="center" vertical="center"/>
    </xf>
    <xf numFmtId="166" fontId="20" fillId="7" borderId="37" xfId="0" applyNumberFormat="1" applyFont="1" applyFill="1" applyBorder="1" applyAlignment="1">
      <alignment horizontal="center" vertical="center"/>
    </xf>
    <xf numFmtId="168" fontId="27" fillId="10" borderId="38" xfId="0" applyNumberFormat="1" applyFont="1" applyFill="1" applyBorder="1" applyAlignment="1">
      <alignment horizontal="center" vertical="center"/>
    </xf>
    <xf numFmtId="168" fontId="27" fillId="10" borderId="39" xfId="0" applyNumberFormat="1" applyFont="1" applyFill="1" applyBorder="1" applyAlignment="1">
      <alignment horizontal="center" vertical="center"/>
    </xf>
    <xf numFmtId="168" fontId="27" fillId="7" borderId="40" xfId="0" applyNumberFormat="1" applyFont="1" applyFill="1" applyBorder="1" applyAlignment="1">
      <alignment horizontal="center" vertical="center"/>
    </xf>
    <xf numFmtId="168" fontId="27" fillId="7" borderId="41" xfId="0" applyNumberFormat="1" applyFont="1" applyFill="1" applyBorder="1" applyAlignment="1">
      <alignment horizontal="center" vertical="center"/>
    </xf>
    <xf numFmtId="168" fontId="27" fillId="7" borderId="42" xfId="0" applyNumberFormat="1" applyFont="1" applyFill="1" applyBorder="1" applyAlignment="1">
      <alignment horizontal="center" vertical="center"/>
    </xf>
    <xf numFmtId="168" fontId="27" fillId="10" borderId="43" xfId="0" applyNumberFormat="1" applyFont="1" applyFill="1" applyBorder="1" applyAlignment="1">
      <alignment horizontal="center" vertical="center"/>
    </xf>
    <xf numFmtId="168" fontId="27" fillId="10" borderId="44" xfId="0" applyNumberFormat="1" applyFont="1" applyFill="1" applyBorder="1" applyAlignment="1">
      <alignment horizontal="center" vertical="center"/>
    </xf>
    <xf numFmtId="168" fontId="27" fillId="7" borderId="45" xfId="0" applyNumberFormat="1" applyFont="1" applyFill="1" applyBorder="1" applyAlignment="1">
      <alignment horizontal="center" vertical="center"/>
    </xf>
    <xf numFmtId="168" fontId="27" fillId="7" borderId="46" xfId="0" applyNumberFormat="1" applyFont="1" applyFill="1" applyBorder="1" applyAlignment="1">
      <alignment horizontal="center" vertical="center"/>
    </xf>
    <xf numFmtId="168" fontId="27" fillId="7" borderId="47" xfId="0" applyNumberFormat="1" applyFont="1" applyFill="1" applyBorder="1" applyAlignment="1">
      <alignment horizontal="center" vertical="center"/>
    </xf>
    <xf numFmtId="168" fontId="27" fillId="10" borderId="48" xfId="0" applyNumberFormat="1" applyFont="1" applyFill="1" applyBorder="1" applyAlignment="1">
      <alignment horizontal="center" vertical="center"/>
    </xf>
    <xf numFmtId="168" fontId="27" fillId="10" borderId="49" xfId="0" applyNumberFormat="1" applyFont="1" applyFill="1" applyBorder="1" applyAlignment="1">
      <alignment horizontal="center" vertical="center"/>
    </xf>
    <xf numFmtId="168" fontId="27" fillId="7" borderId="50" xfId="0" applyNumberFormat="1" applyFont="1" applyFill="1" applyBorder="1" applyAlignment="1">
      <alignment horizontal="center" vertical="center"/>
    </xf>
    <xf numFmtId="168" fontId="27" fillId="7" borderId="51" xfId="0" applyNumberFormat="1" applyFont="1" applyFill="1" applyBorder="1" applyAlignment="1">
      <alignment horizontal="center" vertical="center"/>
    </xf>
    <xf numFmtId="168" fontId="27" fillId="7" borderId="52" xfId="0" applyNumberFormat="1" applyFont="1" applyFill="1" applyBorder="1" applyAlignment="1">
      <alignment horizontal="center" vertical="center"/>
    </xf>
    <xf numFmtId="10" fontId="21" fillId="3" borderId="53" xfId="2" applyNumberFormat="1" applyFont="1" applyFill="1" applyBorder="1" applyAlignment="1" applyProtection="1">
      <alignment horizontal="center" vertical="center"/>
      <protection locked="0"/>
    </xf>
    <xf numFmtId="10" fontId="21" fillId="3" borderId="54" xfId="2" applyNumberFormat="1" applyFont="1" applyFill="1" applyBorder="1" applyAlignment="1" applyProtection="1">
      <alignment horizontal="center" vertical="center"/>
      <protection locked="0"/>
    </xf>
    <xf numFmtId="10" fontId="21" fillId="3" borderId="55" xfId="2" applyNumberFormat="1" applyFont="1" applyFill="1" applyBorder="1" applyAlignment="1" applyProtection="1">
      <alignment horizontal="center" vertical="center"/>
      <protection locked="0"/>
    </xf>
    <xf numFmtId="10" fontId="21" fillId="3" borderId="56" xfId="2" applyNumberFormat="1" applyFont="1" applyFill="1" applyBorder="1" applyAlignment="1" applyProtection="1">
      <alignment horizontal="center" vertical="center"/>
      <protection locked="0"/>
    </xf>
    <xf numFmtId="10" fontId="21" fillId="3" borderId="57" xfId="2" applyNumberFormat="1" applyFont="1" applyFill="1" applyBorder="1" applyAlignment="1" applyProtection="1">
      <alignment horizontal="center" vertical="center"/>
      <protection locked="0"/>
    </xf>
    <xf numFmtId="10" fontId="21" fillId="3" borderId="58" xfId="2" applyNumberFormat="1" applyFont="1" applyFill="1" applyBorder="1" applyAlignment="1" applyProtection="1">
      <alignment horizontal="center" vertical="center"/>
      <protection locked="0"/>
    </xf>
    <xf numFmtId="10" fontId="21" fillId="3" borderId="59" xfId="2" applyNumberFormat="1" applyFont="1" applyFill="1" applyBorder="1" applyAlignment="1" applyProtection="1">
      <alignment horizontal="center" vertical="center"/>
      <protection locked="0"/>
    </xf>
    <xf numFmtId="10" fontId="21" fillId="3" borderId="60" xfId="2" applyNumberFormat="1" applyFont="1" applyFill="1" applyBorder="1" applyAlignment="1" applyProtection="1">
      <alignment horizontal="center" vertical="center"/>
      <protection locked="0"/>
    </xf>
    <xf numFmtId="10" fontId="21" fillId="3" borderId="61" xfId="2" applyNumberFormat="1" applyFont="1" applyFill="1" applyBorder="1" applyAlignment="1" applyProtection="1">
      <alignment horizontal="center" vertical="center"/>
      <protection locked="0"/>
    </xf>
    <xf numFmtId="10" fontId="21" fillId="3" borderId="62" xfId="2" applyNumberFormat="1" applyFont="1" applyFill="1" applyBorder="1" applyAlignment="1" applyProtection="1">
      <alignment horizontal="center" vertical="center"/>
      <protection locked="0"/>
    </xf>
    <xf numFmtId="10" fontId="21" fillId="3" borderId="63" xfId="2" applyNumberFormat="1" applyFont="1" applyFill="1" applyBorder="1" applyAlignment="1" applyProtection="1">
      <alignment horizontal="center" vertical="center"/>
      <protection locked="0"/>
    </xf>
    <xf numFmtId="10" fontId="21" fillId="3" borderId="64" xfId="2" applyNumberFormat="1" applyFont="1" applyFill="1" applyBorder="1" applyAlignment="1" applyProtection="1">
      <alignment horizontal="center" vertical="center"/>
      <protection locked="0"/>
    </xf>
    <xf numFmtId="10" fontId="21" fillId="3" borderId="65" xfId="2" applyNumberFormat="1" applyFont="1" applyFill="1" applyBorder="1" applyAlignment="1" applyProtection="1">
      <alignment horizontal="center" vertical="center"/>
      <protection locked="0"/>
    </xf>
    <xf numFmtId="10" fontId="21" fillId="3" borderId="66" xfId="2" applyNumberFormat="1" applyFont="1" applyFill="1" applyBorder="1" applyAlignment="1" applyProtection="1">
      <alignment horizontal="center" vertical="center"/>
      <protection locked="0"/>
    </xf>
    <xf numFmtId="10" fontId="21" fillId="3" borderId="67" xfId="2" applyNumberFormat="1" applyFont="1" applyFill="1" applyBorder="1" applyAlignment="1" applyProtection="1">
      <alignment horizontal="center" vertical="center"/>
      <protection locked="0"/>
    </xf>
    <xf numFmtId="10" fontId="21" fillId="3" borderId="68" xfId="2" applyNumberFormat="1" applyFont="1" applyFill="1" applyBorder="1" applyAlignment="1" applyProtection="1">
      <alignment horizontal="center" vertical="center"/>
      <protection locked="0"/>
    </xf>
    <xf numFmtId="10" fontId="21" fillId="3" borderId="69" xfId="2" applyNumberFormat="1" applyFont="1" applyFill="1" applyBorder="1" applyAlignment="1" applyProtection="1">
      <alignment horizontal="center" vertical="center"/>
      <protection locked="0"/>
    </xf>
    <xf numFmtId="10" fontId="21" fillId="3" borderId="70" xfId="2" applyNumberFormat="1" applyFont="1" applyFill="1" applyBorder="1" applyAlignment="1" applyProtection="1">
      <alignment horizontal="center" vertical="center"/>
      <protection locked="0"/>
    </xf>
    <xf numFmtId="10" fontId="21" fillId="3" borderId="71" xfId="2" applyNumberFormat="1" applyFont="1" applyFill="1" applyBorder="1" applyAlignment="1" applyProtection="1">
      <alignment horizontal="center" vertical="center"/>
      <protection locked="0"/>
    </xf>
    <xf numFmtId="10" fontId="21" fillId="3" borderId="72" xfId="2" applyNumberFormat="1" applyFont="1" applyFill="1" applyBorder="1" applyAlignment="1" applyProtection="1">
      <alignment horizontal="center" vertical="center"/>
      <protection locked="0"/>
    </xf>
    <xf numFmtId="10" fontId="21" fillId="3" borderId="73" xfId="2" applyNumberFormat="1" applyFont="1" applyFill="1" applyBorder="1" applyAlignment="1" applyProtection="1">
      <alignment horizontal="center" vertical="center"/>
      <protection locked="0"/>
    </xf>
    <xf numFmtId="10" fontId="21" fillId="3" borderId="74" xfId="2" applyNumberFormat="1" applyFont="1" applyFill="1" applyBorder="1" applyAlignment="1" applyProtection="1">
      <alignment horizontal="center" vertical="center"/>
      <protection locked="0"/>
    </xf>
    <xf numFmtId="10" fontId="21" fillId="3" borderId="75" xfId="2" applyNumberFormat="1" applyFont="1" applyFill="1" applyBorder="1" applyAlignment="1" applyProtection="1">
      <alignment horizontal="center" vertical="center"/>
      <protection locked="0"/>
    </xf>
    <xf numFmtId="10" fontId="21" fillId="3" borderId="45" xfId="2" applyNumberFormat="1" applyFont="1" applyFill="1" applyBorder="1" applyAlignment="1" applyProtection="1">
      <alignment horizontal="center" vertical="center"/>
      <protection locked="0"/>
    </xf>
    <xf numFmtId="10" fontId="21" fillId="3" borderId="76" xfId="2" applyNumberFormat="1" applyFont="1" applyFill="1" applyBorder="1" applyAlignment="1" applyProtection="1">
      <alignment horizontal="center" vertical="center"/>
      <protection locked="0"/>
    </xf>
    <xf numFmtId="10" fontId="21" fillId="3" borderId="77" xfId="2" applyNumberFormat="1" applyFont="1" applyFill="1" applyBorder="1" applyAlignment="1" applyProtection="1">
      <alignment horizontal="center" vertical="center"/>
      <protection locked="0"/>
    </xf>
    <xf numFmtId="10" fontId="21" fillId="3" borderId="78" xfId="2" applyNumberFormat="1" applyFont="1" applyFill="1" applyBorder="1" applyAlignment="1" applyProtection="1">
      <alignment horizontal="center" vertical="center"/>
      <protection locked="0"/>
    </xf>
    <xf numFmtId="0" fontId="22" fillId="12" borderId="79" xfId="0" applyFont="1" applyFill="1" applyBorder="1" applyAlignment="1">
      <alignment horizontal="center" vertical="center"/>
    </xf>
    <xf numFmtId="0" fontId="22" fillId="12" borderId="80" xfId="0" applyFont="1" applyFill="1" applyBorder="1" applyAlignment="1">
      <alignment horizontal="center" vertical="center"/>
    </xf>
    <xf numFmtId="0" fontId="22" fillId="12" borderId="81" xfId="0" applyFont="1" applyFill="1" applyBorder="1" applyAlignment="1">
      <alignment horizontal="center" vertical="center"/>
    </xf>
    <xf numFmtId="0" fontId="22" fillId="12" borderId="82" xfId="0" applyFont="1" applyFill="1" applyBorder="1" applyAlignment="1">
      <alignment horizontal="center" vertical="center"/>
    </xf>
    <xf numFmtId="0" fontId="22" fillId="12" borderId="83" xfId="0" applyFont="1" applyFill="1" applyBorder="1" applyAlignment="1">
      <alignment horizontal="center" vertical="center"/>
    </xf>
    <xf numFmtId="0" fontId="22" fillId="12" borderId="84" xfId="0" applyFont="1" applyFill="1" applyBorder="1" applyAlignment="1">
      <alignment horizontal="center" vertical="center"/>
    </xf>
    <xf numFmtId="4" fontId="21" fillId="3" borderId="85" xfId="0" applyNumberFormat="1" applyFont="1" applyFill="1" applyBorder="1" applyAlignment="1" applyProtection="1">
      <alignment horizontal="center" vertical="center"/>
      <protection locked="0"/>
    </xf>
    <xf numFmtId="4" fontId="21" fillId="3" borderId="55" xfId="0" applyNumberFormat="1" applyFont="1" applyFill="1" applyBorder="1" applyAlignment="1" applyProtection="1">
      <alignment horizontal="center" vertical="center"/>
      <protection locked="0"/>
    </xf>
    <xf numFmtId="10" fontId="21" fillId="3" borderId="86" xfId="2" applyNumberFormat="1" applyFont="1" applyFill="1" applyBorder="1" applyAlignment="1" applyProtection="1">
      <alignment horizontal="center" vertical="center"/>
      <protection locked="0"/>
    </xf>
    <xf numFmtId="4" fontId="21" fillId="3" borderId="87" xfId="0" applyNumberFormat="1" applyFont="1" applyFill="1" applyBorder="1" applyAlignment="1" applyProtection="1">
      <alignment horizontal="center" vertical="center"/>
      <protection locked="0"/>
    </xf>
    <xf numFmtId="4" fontId="21" fillId="3" borderId="60" xfId="0" applyNumberFormat="1" applyFont="1" applyFill="1" applyBorder="1" applyAlignment="1" applyProtection="1">
      <alignment horizontal="center" vertical="center"/>
      <protection locked="0"/>
    </xf>
    <xf numFmtId="10" fontId="21" fillId="3" borderId="88" xfId="2" applyNumberFormat="1" applyFont="1" applyFill="1" applyBorder="1" applyAlignment="1" applyProtection="1">
      <alignment horizontal="center" vertical="center"/>
      <protection locked="0"/>
    </xf>
    <xf numFmtId="4" fontId="21" fillId="3" borderId="89" xfId="0" applyNumberFormat="1" applyFont="1" applyFill="1" applyBorder="1" applyAlignment="1" applyProtection="1">
      <alignment horizontal="center" vertical="center"/>
      <protection locked="0"/>
    </xf>
    <xf numFmtId="4" fontId="21" fillId="3" borderId="90" xfId="0" applyNumberFormat="1" applyFont="1" applyFill="1" applyBorder="1" applyAlignment="1" applyProtection="1">
      <alignment horizontal="center" vertical="center"/>
      <protection locked="0"/>
    </xf>
    <xf numFmtId="10" fontId="21" fillId="3" borderId="91" xfId="2" applyNumberFormat="1" applyFont="1" applyFill="1" applyBorder="1" applyAlignment="1" applyProtection="1">
      <alignment horizontal="center" vertical="center"/>
      <protection locked="0"/>
    </xf>
    <xf numFmtId="169" fontId="0" fillId="4" borderId="33" xfId="0" applyNumberFormat="1" applyFill="1" applyBorder="1" applyAlignment="1">
      <alignment vertical="center"/>
    </xf>
    <xf numFmtId="0" fontId="19" fillId="7" borderId="85" xfId="0" applyFont="1" applyFill="1" applyBorder="1" applyAlignment="1">
      <alignment horizontal="left" vertical="center" indent="1"/>
    </xf>
    <xf numFmtId="10" fontId="20" fillId="7" borderId="92" xfId="2" applyNumberFormat="1" applyFont="1" applyFill="1" applyBorder="1" applyAlignment="1">
      <alignment horizontal="center" vertical="center"/>
    </xf>
    <xf numFmtId="166" fontId="23" fillId="7" borderId="92" xfId="1" applyNumberFormat="1" applyFont="1" applyFill="1" applyBorder="1" applyAlignment="1">
      <alignment horizontal="center" vertical="center"/>
    </xf>
    <xf numFmtId="10" fontId="20" fillId="7" borderId="93" xfId="2" applyNumberFormat="1" applyFont="1" applyFill="1" applyBorder="1" applyAlignment="1">
      <alignment horizontal="center" vertical="center"/>
    </xf>
    <xf numFmtId="166" fontId="23" fillId="7" borderId="93" xfId="1" applyNumberFormat="1" applyFont="1" applyFill="1" applyBorder="1" applyAlignment="1">
      <alignment horizontal="center" vertical="center"/>
    </xf>
    <xf numFmtId="10" fontId="20" fillId="7" borderId="95" xfId="2" applyNumberFormat="1" applyFont="1" applyFill="1" applyBorder="1" applyAlignment="1">
      <alignment horizontal="center" vertical="center"/>
    </xf>
    <xf numFmtId="166" fontId="23" fillId="7" borderId="95" xfId="1" applyNumberFormat="1" applyFont="1" applyFill="1" applyBorder="1" applyAlignment="1">
      <alignment horizontal="center" vertical="center"/>
    </xf>
    <xf numFmtId="0" fontId="28" fillId="9" borderId="96" xfId="0" applyFont="1" applyFill="1" applyBorder="1" applyAlignment="1">
      <alignment horizontal="center" vertical="center" wrapText="1"/>
    </xf>
    <xf numFmtId="166" fontId="29" fillId="10" borderId="97" xfId="1" applyNumberFormat="1" applyFont="1" applyFill="1" applyBorder="1" applyAlignment="1">
      <alignment horizontal="center" vertical="center" shrinkToFit="1"/>
    </xf>
    <xf numFmtId="0" fontId="19" fillId="8" borderId="24" xfId="0" applyFont="1" applyFill="1" applyBorder="1" applyAlignment="1">
      <alignment horizontal="center" vertical="center" wrapText="1"/>
    </xf>
    <xf numFmtId="10" fontId="27" fillId="8" borderId="98" xfId="2" applyNumberFormat="1" applyFont="1" applyFill="1" applyBorder="1" applyAlignment="1">
      <alignment horizontal="center" vertical="center"/>
    </xf>
    <xf numFmtId="10" fontId="27" fillId="8" borderId="99" xfId="2" applyNumberFormat="1" applyFont="1" applyFill="1" applyBorder="1" applyAlignment="1">
      <alignment horizontal="center" vertical="center"/>
    </xf>
    <xf numFmtId="10" fontId="30" fillId="8" borderId="100" xfId="2" applyNumberFormat="1" applyFont="1" applyFill="1" applyBorder="1" applyAlignment="1">
      <alignment horizontal="center" vertical="center"/>
    </xf>
    <xf numFmtId="0" fontId="19" fillId="8" borderId="1" xfId="0" applyFont="1" applyFill="1" applyBorder="1" applyAlignment="1">
      <alignment horizontal="center" vertical="center"/>
    </xf>
    <xf numFmtId="4" fontId="27" fillId="8" borderId="101" xfId="0" applyNumberFormat="1" applyFont="1" applyFill="1" applyBorder="1" applyAlignment="1">
      <alignment horizontal="center" vertical="center"/>
    </xf>
    <xf numFmtId="4" fontId="27" fillId="8" borderId="87" xfId="0" applyNumberFormat="1" applyFont="1" applyFill="1" applyBorder="1" applyAlignment="1">
      <alignment horizontal="center" vertical="center"/>
    </xf>
    <xf numFmtId="4" fontId="27" fillId="8" borderId="89" xfId="0" applyNumberFormat="1" applyFont="1" applyFill="1" applyBorder="1" applyAlignment="1">
      <alignment horizontal="center" vertical="center"/>
    </xf>
    <xf numFmtId="0" fontId="19" fillId="7" borderId="102" xfId="0" applyFont="1" applyFill="1" applyBorder="1" applyAlignment="1">
      <alignment horizontal="center" vertical="center" wrapText="1"/>
    </xf>
    <xf numFmtId="10" fontId="24" fillId="7" borderId="103" xfId="0" applyNumberFormat="1" applyFont="1" applyFill="1" applyBorder="1" applyAlignment="1">
      <alignment horizontal="center" vertical="center" wrapText="1"/>
    </xf>
    <xf numFmtId="166" fontId="20" fillId="7" borderId="104" xfId="0" applyNumberFormat="1" applyFont="1" applyFill="1" applyBorder="1" applyAlignment="1">
      <alignment horizontal="center" vertical="center"/>
    </xf>
    <xf numFmtId="166" fontId="23" fillId="7" borderId="105" xfId="0" applyNumberFormat="1" applyFont="1" applyFill="1" applyBorder="1" applyAlignment="1">
      <alignment horizontal="center" vertical="center"/>
    </xf>
    <xf numFmtId="166" fontId="23" fillId="7" borderId="106" xfId="0" applyNumberFormat="1" applyFont="1" applyFill="1" applyBorder="1" applyAlignment="1">
      <alignment horizontal="center" vertical="center"/>
    </xf>
    <xf numFmtId="166" fontId="23" fillId="7" borderId="104" xfId="0" applyNumberFormat="1" applyFont="1" applyFill="1" applyBorder="1" applyAlignment="1">
      <alignment horizontal="center" vertical="center"/>
    </xf>
    <xf numFmtId="0" fontId="19" fillId="13" borderId="12" xfId="0" applyFont="1" applyFill="1" applyBorder="1" applyAlignment="1">
      <alignment horizontal="left" vertical="center" indent="1"/>
    </xf>
    <xf numFmtId="0" fontId="19" fillId="13" borderId="13" xfId="0" applyFont="1" applyFill="1" applyBorder="1" applyAlignment="1">
      <alignment horizontal="left" vertical="center"/>
    </xf>
    <xf numFmtId="166" fontId="31" fillId="13" borderId="107" xfId="1" applyNumberFormat="1" applyFont="1" applyFill="1" applyBorder="1" applyAlignment="1">
      <alignment horizontal="center" vertical="center"/>
    </xf>
    <xf numFmtId="166" fontId="31" fillId="13" borderId="108" xfId="1" applyNumberFormat="1" applyFont="1" applyFill="1" applyBorder="1" applyAlignment="1">
      <alignment horizontal="center" vertical="center"/>
    </xf>
    <xf numFmtId="0" fontId="19" fillId="14" borderId="9" xfId="0" applyFont="1" applyFill="1" applyBorder="1" applyAlignment="1">
      <alignment horizontal="center" vertical="center"/>
    </xf>
    <xf numFmtId="0" fontId="19" fillId="12" borderId="85" xfId="0" applyFont="1" applyFill="1" applyBorder="1" applyAlignment="1">
      <alignment horizontal="left" vertical="center" indent="1"/>
    </xf>
    <xf numFmtId="10" fontId="20" fillId="12" borderId="92" xfId="2" applyNumberFormat="1" applyFont="1" applyFill="1" applyBorder="1" applyAlignment="1">
      <alignment horizontal="center" vertical="center"/>
    </xf>
    <xf numFmtId="166" fontId="23" fillId="12" borderId="92" xfId="1" applyNumberFormat="1" applyFont="1" applyFill="1" applyBorder="1" applyAlignment="1">
      <alignment horizontal="center" vertical="center"/>
    </xf>
    <xf numFmtId="0" fontId="0" fillId="12" borderId="87" xfId="0" applyFill="1" applyBorder="1" applyAlignment="1">
      <alignment horizontal="left" vertical="center" indent="1"/>
    </xf>
    <xf numFmtId="10" fontId="20" fillId="12" borderId="93" xfId="2" applyNumberFormat="1" applyFont="1" applyFill="1" applyBorder="1" applyAlignment="1">
      <alignment horizontal="center" vertical="center"/>
    </xf>
    <xf numFmtId="166" fontId="23" fillId="12" borderId="93" xfId="1" applyNumberFormat="1" applyFont="1" applyFill="1" applyBorder="1" applyAlignment="1">
      <alignment horizontal="center" vertical="center"/>
    </xf>
    <xf numFmtId="0" fontId="0" fillId="12" borderId="94" xfId="0" applyFill="1" applyBorder="1" applyAlignment="1">
      <alignment horizontal="left" vertical="center" indent="1"/>
    </xf>
    <xf numFmtId="10" fontId="20" fillId="12" borderId="95" xfId="2" applyNumberFormat="1" applyFont="1" applyFill="1" applyBorder="1" applyAlignment="1">
      <alignment horizontal="center" vertical="center"/>
    </xf>
    <xf numFmtId="166" fontId="23" fillId="12" borderId="95" xfId="1" applyNumberFormat="1" applyFont="1" applyFill="1" applyBorder="1" applyAlignment="1">
      <alignment horizontal="center" vertical="center"/>
    </xf>
    <xf numFmtId="0" fontId="0" fillId="12" borderId="8" xfId="0" applyFill="1" applyBorder="1" applyAlignment="1">
      <alignment horizontal="left" vertical="center" indent="1"/>
    </xf>
    <xf numFmtId="166" fontId="23" fillId="12" borderId="14" xfId="1" applyNumberFormat="1" applyFont="1" applyFill="1" applyBorder="1" applyAlignment="1">
      <alignment horizontal="center" vertical="center"/>
    </xf>
    <xf numFmtId="0" fontId="19" fillId="14" borderId="109" xfId="0" applyFont="1" applyFill="1" applyBorder="1" applyAlignment="1">
      <alignment horizontal="center" vertical="center"/>
    </xf>
    <xf numFmtId="167" fontId="20" fillId="7" borderId="110" xfId="1" applyNumberFormat="1" applyFont="1" applyFill="1" applyBorder="1" applyAlignment="1">
      <alignment horizontal="center" vertical="center"/>
    </xf>
    <xf numFmtId="167" fontId="20" fillId="12" borderId="14" xfId="1" applyNumberFormat="1" applyFont="1" applyFill="1" applyBorder="1" applyAlignment="1">
      <alignment horizontal="center" vertical="center"/>
    </xf>
    <xf numFmtId="0" fontId="32" fillId="14" borderId="111" xfId="0" applyFont="1" applyFill="1" applyBorder="1" applyAlignment="1">
      <alignment horizontal="center" vertical="center"/>
    </xf>
    <xf numFmtId="167" fontId="20" fillId="14" borderId="112" xfId="1" applyNumberFormat="1" applyFont="1" applyFill="1" applyBorder="1" applyAlignment="1">
      <alignment horizontal="center" vertical="center" shrinkToFit="1"/>
    </xf>
    <xf numFmtId="167" fontId="20" fillId="14" borderId="43" xfId="1" applyNumberFormat="1" applyFont="1" applyFill="1" applyBorder="1" applyAlignment="1">
      <alignment horizontal="center" vertical="center" shrinkToFit="1"/>
    </xf>
    <xf numFmtId="167" fontId="20" fillId="14" borderId="113" xfId="1" applyNumberFormat="1" applyFont="1" applyFill="1" applyBorder="1" applyAlignment="1">
      <alignment horizontal="center" vertical="center" shrinkToFit="1"/>
    </xf>
    <xf numFmtId="167" fontId="24" fillId="14" borderId="114" xfId="1" applyNumberFormat="1" applyFont="1" applyFill="1" applyBorder="1" applyAlignment="1">
      <alignment horizontal="center" vertical="center" shrinkToFit="1"/>
    </xf>
    <xf numFmtId="167" fontId="24" fillId="14" borderId="115" xfId="1" applyNumberFormat="1" applyFont="1" applyFill="1" applyBorder="1" applyAlignment="1">
      <alignment horizontal="center" vertical="center" shrinkToFit="1"/>
    </xf>
    <xf numFmtId="167" fontId="33" fillId="13" borderId="116" xfId="1" applyNumberFormat="1" applyFont="1" applyFill="1" applyBorder="1" applyAlignment="1">
      <alignment horizontal="center" vertical="center" shrinkToFit="1"/>
    </xf>
    <xf numFmtId="0" fontId="32" fillId="14" borderId="117" xfId="0" applyFont="1" applyFill="1" applyBorder="1" applyAlignment="1">
      <alignment horizontal="center" vertical="center"/>
    </xf>
    <xf numFmtId="167" fontId="20" fillId="14" borderId="118" xfId="1" applyNumberFormat="1" applyFont="1" applyFill="1" applyBorder="1" applyAlignment="1">
      <alignment horizontal="center" vertical="center" shrinkToFit="1"/>
    </xf>
    <xf numFmtId="167" fontId="20" fillId="14" borderId="47" xfId="1" applyNumberFormat="1" applyFont="1" applyFill="1" applyBorder="1" applyAlignment="1">
      <alignment horizontal="center" vertical="center" shrinkToFit="1"/>
    </xf>
    <xf numFmtId="167" fontId="20" fillId="14" borderId="119" xfId="1" applyNumberFormat="1" applyFont="1" applyFill="1" applyBorder="1" applyAlignment="1">
      <alignment horizontal="center" vertical="center" shrinkToFit="1"/>
    </xf>
    <xf numFmtId="167" fontId="24" fillId="14" borderId="120" xfId="1" applyNumberFormat="1" applyFont="1" applyFill="1" applyBorder="1" applyAlignment="1">
      <alignment horizontal="center" vertical="center" shrinkToFit="1"/>
    </xf>
    <xf numFmtId="167" fontId="24" fillId="14" borderId="121" xfId="1" applyNumberFormat="1" applyFont="1" applyFill="1" applyBorder="1" applyAlignment="1">
      <alignment horizontal="center" vertical="center" shrinkToFit="1"/>
    </xf>
    <xf numFmtId="167" fontId="33" fillId="13" borderId="122" xfId="1" applyNumberFormat="1" applyFont="1" applyFill="1" applyBorder="1" applyAlignment="1">
      <alignment horizontal="center" vertical="center" shrinkToFit="1"/>
    </xf>
    <xf numFmtId="0" fontId="19" fillId="6" borderId="123" xfId="0" applyFont="1" applyFill="1" applyBorder="1" applyAlignment="1">
      <alignment horizontal="center" vertical="center"/>
    </xf>
    <xf numFmtId="166" fontId="23" fillId="7" borderId="124" xfId="1" applyNumberFormat="1" applyFont="1" applyFill="1" applyBorder="1" applyAlignment="1">
      <alignment horizontal="center" vertical="center"/>
    </xf>
    <xf numFmtId="166" fontId="23" fillId="7" borderId="125" xfId="1" applyNumberFormat="1" applyFont="1" applyFill="1" applyBorder="1" applyAlignment="1">
      <alignment horizontal="center" vertical="center"/>
    </xf>
    <xf numFmtId="166" fontId="23" fillId="7" borderId="22" xfId="1" applyNumberFormat="1" applyFont="1" applyFill="1" applyBorder="1" applyAlignment="1">
      <alignment horizontal="center" vertical="center"/>
    </xf>
    <xf numFmtId="166" fontId="23" fillId="7" borderId="26" xfId="1" applyNumberFormat="1" applyFont="1" applyFill="1" applyBorder="1" applyAlignment="1">
      <alignment horizontal="center" vertical="center"/>
    </xf>
    <xf numFmtId="0" fontId="19" fillId="6" borderId="6" xfId="0" applyFont="1" applyFill="1" applyBorder="1" applyAlignment="1">
      <alignment horizontal="right" vertical="center" indent="1"/>
    </xf>
    <xf numFmtId="10" fontId="24" fillId="6" borderId="9" xfId="2" applyNumberFormat="1" applyFont="1" applyFill="1" applyBorder="1" applyAlignment="1">
      <alignment horizontal="center" vertical="center"/>
    </xf>
    <xf numFmtId="4" fontId="24" fillId="6" borderId="9" xfId="2" applyNumberFormat="1" applyFont="1" applyFill="1" applyBorder="1" applyAlignment="1">
      <alignment horizontal="center" vertical="center"/>
    </xf>
    <xf numFmtId="166" fontId="31" fillId="6" borderId="9" xfId="1" applyNumberFormat="1" applyFont="1" applyFill="1" applyBorder="1" applyAlignment="1">
      <alignment horizontal="center" vertical="center"/>
    </xf>
    <xf numFmtId="166" fontId="31" fillId="6" borderId="126" xfId="1" applyNumberFormat="1" applyFont="1" applyFill="1" applyBorder="1" applyAlignment="1">
      <alignment horizontal="center" vertical="center"/>
    </xf>
    <xf numFmtId="0" fontId="19" fillId="15" borderId="12" xfId="0" applyFont="1" applyFill="1" applyBorder="1" applyAlignment="1">
      <alignment horizontal="left" vertical="center" indent="1"/>
    </xf>
    <xf numFmtId="0" fontId="19" fillId="15" borderId="13" xfId="0" applyFont="1" applyFill="1" applyBorder="1" applyAlignment="1">
      <alignment horizontal="left" vertical="center"/>
    </xf>
    <xf numFmtId="166" fontId="31" fillId="15" borderId="107" xfId="1" applyNumberFormat="1" applyFont="1" applyFill="1" applyBorder="1" applyAlignment="1">
      <alignment horizontal="center" vertical="center"/>
    </xf>
    <xf numFmtId="166" fontId="31" fillId="15" borderId="127" xfId="1" applyNumberFormat="1" applyFont="1" applyFill="1" applyBorder="1" applyAlignment="1">
      <alignment horizontal="center" vertical="center"/>
    </xf>
    <xf numFmtId="0" fontId="19" fillId="14" borderId="6" xfId="0" applyFont="1" applyFill="1" applyBorder="1" applyAlignment="1">
      <alignment horizontal="right" vertical="center" indent="1"/>
    </xf>
    <xf numFmtId="10" fontId="24" fillId="14" borderId="9" xfId="2" applyNumberFormat="1" applyFont="1" applyFill="1" applyBorder="1" applyAlignment="1">
      <alignment horizontal="center" vertical="center"/>
    </xf>
    <xf numFmtId="10" fontId="24" fillId="14" borderId="128" xfId="2" applyNumberFormat="1" applyFont="1" applyFill="1" applyBorder="1" applyAlignment="1">
      <alignment horizontal="center" vertical="center"/>
    </xf>
    <xf numFmtId="166" fontId="31" fillId="14" borderId="9" xfId="1" applyNumberFormat="1" applyFont="1" applyFill="1" applyBorder="1" applyAlignment="1">
      <alignment horizontal="center" vertical="center"/>
    </xf>
    <xf numFmtId="10" fontId="24" fillId="12" borderId="55" xfId="2" applyNumberFormat="1" applyFont="1" applyFill="1" applyBorder="1" applyAlignment="1">
      <alignment horizontal="center" vertical="center"/>
    </xf>
    <xf numFmtId="10" fontId="24" fillId="12" borderId="60" xfId="2" applyNumberFormat="1" applyFont="1" applyFill="1" applyBorder="1" applyAlignment="1">
      <alignment horizontal="center" vertical="center"/>
    </xf>
    <xf numFmtId="10" fontId="24" fillId="12" borderId="65" xfId="2" applyNumberFormat="1" applyFont="1" applyFill="1" applyBorder="1" applyAlignment="1">
      <alignment horizontal="center" vertical="center"/>
    </xf>
    <xf numFmtId="167" fontId="24" fillId="12" borderId="109" xfId="1" applyNumberFormat="1" applyFont="1" applyFill="1" applyBorder="1" applyAlignment="1">
      <alignment horizontal="center" vertical="center"/>
    </xf>
    <xf numFmtId="0" fontId="19" fillId="14" borderId="129" xfId="0" applyFont="1" applyFill="1" applyBorder="1" applyAlignment="1">
      <alignment horizontal="center" vertical="center"/>
    </xf>
    <xf numFmtId="10" fontId="20" fillId="12" borderId="130" xfId="2" applyNumberFormat="1" applyFont="1" applyFill="1" applyBorder="1" applyAlignment="1">
      <alignment horizontal="center" vertical="center"/>
    </xf>
    <xf numFmtId="10" fontId="20" fillId="12" borderId="131" xfId="2" applyNumberFormat="1" applyFont="1" applyFill="1" applyBorder="1" applyAlignment="1">
      <alignment horizontal="center" vertical="center"/>
    </xf>
    <xf numFmtId="10" fontId="20" fillId="12" borderId="132" xfId="2" applyNumberFormat="1" applyFont="1" applyFill="1" applyBorder="1" applyAlignment="1">
      <alignment horizontal="center" vertical="center"/>
    </xf>
    <xf numFmtId="10" fontId="24" fillId="14" borderId="133" xfId="2" applyNumberFormat="1" applyFont="1" applyFill="1" applyBorder="1" applyAlignment="1">
      <alignment horizontal="center" vertical="center"/>
    </xf>
    <xf numFmtId="167" fontId="20" fillId="12" borderId="134" xfId="1" applyNumberFormat="1" applyFont="1" applyFill="1" applyBorder="1" applyAlignment="1">
      <alignment horizontal="center" vertical="center"/>
    </xf>
    <xf numFmtId="0" fontId="19" fillId="14" borderId="135" xfId="0" applyFont="1" applyFill="1" applyBorder="1" applyAlignment="1">
      <alignment horizontal="center" vertical="center"/>
    </xf>
    <xf numFmtId="166" fontId="23" fillId="12" borderId="136" xfId="1" applyNumberFormat="1" applyFont="1" applyFill="1" applyBorder="1" applyAlignment="1">
      <alignment horizontal="center" vertical="center"/>
    </xf>
    <xf numFmtId="166" fontId="23" fillId="12" borderId="137" xfId="1" applyNumberFormat="1" applyFont="1" applyFill="1" applyBorder="1" applyAlignment="1">
      <alignment horizontal="center" vertical="center"/>
    </xf>
    <xf numFmtId="166" fontId="23" fillId="12" borderId="138" xfId="1" applyNumberFormat="1" applyFont="1" applyFill="1" applyBorder="1" applyAlignment="1">
      <alignment horizontal="center" vertical="center"/>
    </xf>
    <xf numFmtId="166" fontId="31" fillId="14" borderId="139" xfId="1" applyNumberFormat="1" applyFont="1" applyFill="1" applyBorder="1" applyAlignment="1">
      <alignment horizontal="center" vertical="center"/>
    </xf>
    <xf numFmtId="166" fontId="23" fillId="12" borderId="140" xfId="1" applyNumberFormat="1" applyFont="1" applyFill="1" applyBorder="1" applyAlignment="1">
      <alignment horizontal="center" vertical="center"/>
    </xf>
    <xf numFmtId="166" fontId="31" fillId="13" borderId="141" xfId="1" applyNumberFormat="1" applyFont="1" applyFill="1" applyBorder="1" applyAlignment="1">
      <alignment horizontal="center" vertical="center"/>
    </xf>
    <xf numFmtId="0" fontId="19" fillId="14" borderId="142" xfId="0" applyFont="1" applyFill="1" applyBorder="1" applyAlignment="1">
      <alignment horizontal="center" vertical="center"/>
    </xf>
    <xf numFmtId="166" fontId="23" fillId="12" borderId="143" xfId="1" applyNumberFormat="1" applyFont="1" applyFill="1" applyBorder="1" applyAlignment="1">
      <alignment horizontal="center" vertical="center"/>
    </xf>
    <xf numFmtId="166" fontId="23" fillId="12" borderId="144" xfId="1" applyNumberFormat="1" applyFont="1" applyFill="1" applyBorder="1" applyAlignment="1">
      <alignment horizontal="center" vertical="center"/>
    </xf>
    <xf numFmtId="166" fontId="23" fillId="12" borderId="145" xfId="1" applyNumberFormat="1" applyFont="1" applyFill="1" applyBorder="1" applyAlignment="1">
      <alignment horizontal="center" vertical="center"/>
    </xf>
    <xf numFmtId="166" fontId="31" fillId="14" borderId="146" xfId="1" applyNumberFormat="1" applyFont="1" applyFill="1" applyBorder="1" applyAlignment="1">
      <alignment horizontal="center" vertical="center"/>
    </xf>
    <xf numFmtId="166" fontId="23" fillId="12" borderId="147" xfId="1" applyNumberFormat="1" applyFont="1" applyFill="1" applyBorder="1" applyAlignment="1">
      <alignment horizontal="center" vertical="center"/>
    </xf>
    <xf numFmtId="166" fontId="31" fillId="13" borderId="148" xfId="1" applyNumberFormat="1" applyFont="1" applyFill="1" applyBorder="1" applyAlignment="1">
      <alignment horizontal="center" vertical="center"/>
    </xf>
    <xf numFmtId="167" fontId="24" fillId="4" borderId="149" xfId="1" applyNumberFormat="1" applyFont="1" applyFill="1" applyBorder="1" applyAlignment="1">
      <alignment horizontal="center" vertical="center" shrinkToFit="1"/>
    </xf>
    <xf numFmtId="0" fontId="0" fillId="0" borderId="0" xfId="0" applyAlignment="1">
      <alignment horizontal="center" vertical="center"/>
    </xf>
    <xf numFmtId="0" fontId="19" fillId="7" borderId="150" xfId="0" applyFont="1" applyFill="1" applyBorder="1" applyAlignment="1">
      <alignment horizontal="center" vertical="center"/>
    </xf>
    <xf numFmtId="0" fontId="22" fillId="7" borderId="151" xfId="0" applyFont="1" applyFill="1" applyBorder="1" applyAlignment="1">
      <alignment horizontal="center" vertical="center"/>
    </xf>
    <xf numFmtId="0" fontId="22" fillId="7" borderId="152" xfId="0" applyFont="1" applyFill="1" applyBorder="1" applyAlignment="1">
      <alignment horizontal="center" vertical="center"/>
    </xf>
    <xf numFmtId="0" fontId="19" fillId="5" borderId="5" xfId="0" applyFont="1" applyFill="1" applyBorder="1" applyAlignment="1">
      <alignment horizontal="right" vertical="center" indent="1"/>
    </xf>
    <xf numFmtId="0" fontId="19" fillId="4" borderId="85" xfId="0" applyFont="1" applyFill="1" applyBorder="1" applyAlignment="1">
      <alignment horizontal="left" vertical="center"/>
    </xf>
    <xf numFmtId="0" fontId="0" fillId="4" borderId="87" xfId="0" applyFill="1" applyBorder="1" applyAlignment="1">
      <alignment horizontal="left" vertical="center"/>
    </xf>
    <xf numFmtId="0" fontId="0" fillId="4" borderId="94" xfId="0" applyFill="1" applyBorder="1" applyAlignment="1">
      <alignment horizontal="left" vertical="center"/>
    </xf>
    <xf numFmtId="0" fontId="19" fillId="4" borderId="12" xfId="0" applyFont="1" applyFill="1" applyBorder="1" applyAlignment="1">
      <alignment horizontal="left" vertical="center"/>
    </xf>
    <xf numFmtId="10" fontId="24" fillId="7" borderId="153" xfId="2" applyNumberFormat="1" applyFont="1" applyFill="1" applyBorder="1" applyAlignment="1">
      <alignment horizontal="center" vertical="center"/>
    </xf>
    <xf numFmtId="10" fontId="24" fillId="7" borderId="154" xfId="2" applyNumberFormat="1" applyFont="1" applyFill="1" applyBorder="1" applyAlignment="1">
      <alignment horizontal="center" vertical="center"/>
    </xf>
    <xf numFmtId="10" fontId="24" fillId="7" borderId="3" xfId="2" applyNumberFormat="1" applyFont="1" applyFill="1" applyBorder="1" applyAlignment="1">
      <alignment horizontal="center" vertical="center"/>
    </xf>
    <xf numFmtId="10" fontId="24" fillId="12" borderId="155" xfId="2" applyNumberFormat="1" applyFont="1" applyFill="1" applyBorder="1" applyAlignment="1">
      <alignment horizontal="center" vertical="center"/>
    </xf>
    <xf numFmtId="10" fontId="24" fillId="12" borderId="156" xfId="2" applyNumberFormat="1" applyFont="1" applyFill="1" applyBorder="1" applyAlignment="1">
      <alignment horizontal="center" vertical="center"/>
    </xf>
    <xf numFmtId="10" fontId="24" fillId="12" borderId="157" xfId="2" applyNumberFormat="1" applyFont="1" applyFill="1" applyBorder="1" applyAlignment="1">
      <alignment horizontal="center" vertical="center"/>
    </xf>
    <xf numFmtId="10" fontId="24" fillId="12" borderId="158" xfId="2" applyNumberFormat="1" applyFont="1" applyFill="1" applyBorder="1" applyAlignment="1">
      <alignment horizontal="center" vertical="center"/>
    </xf>
    <xf numFmtId="10" fontId="24" fillId="12" borderId="159" xfId="2" applyNumberFormat="1" applyFont="1" applyFill="1" applyBorder="1" applyAlignment="1">
      <alignment horizontal="center" vertical="center"/>
    </xf>
    <xf numFmtId="10" fontId="24" fillId="12" borderId="4" xfId="2" applyNumberFormat="1" applyFont="1" applyFill="1" applyBorder="1" applyAlignment="1">
      <alignment horizontal="center" vertical="center"/>
    </xf>
    <xf numFmtId="4" fontId="20" fillId="7" borderId="92" xfId="2" applyNumberFormat="1" applyFont="1" applyFill="1" applyBorder="1" applyAlignment="1">
      <alignment horizontal="center" vertical="center"/>
    </xf>
    <xf numFmtId="4" fontId="20" fillId="7" borderId="93" xfId="2" applyNumberFormat="1" applyFont="1" applyFill="1" applyBorder="1" applyAlignment="1">
      <alignment horizontal="center" vertical="center"/>
    </xf>
    <xf numFmtId="4" fontId="20" fillId="7" borderId="95" xfId="2" applyNumberFormat="1" applyFont="1" applyFill="1" applyBorder="1" applyAlignment="1">
      <alignment horizontal="center" vertical="center"/>
    </xf>
    <xf numFmtId="167" fontId="34" fillId="3" borderId="160" xfId="1" applyNumberFormat="1" applyFont="1" applyFill="1" applyBorder="1" applyAlignment="1" applyProtection="1">
      <alignment horizontal="center" vertical="center" shrinkToFit="1"/>
      <protection locked="0"/>
    </xf>
    <xf numFmtId="0" fontId="20" fillId="3" borderId="0" xfId="0" applyFont="1" applyFill="1" applyAlignment="1" applyProtection="1">
      <alignment horizontal="center" vertical="center"/>
      <protection locked="0"/>
    </xf>
    <xf numFmtId="0" fontId="19" fillId="6" borderId="14" xfId="0" applyFont="1" applyFill="1" applyBorder="1" applyAlignment="1">
      <alignment horizontal="center" vertical="center" wrapText="1"/>
    </xf>
    <xf numFmtId="0" fontId="19" fillId="6" borderId="161" xfId="0" applyFont="1" applyFill="1" applyBorder="1" applyAlignment="1">
      <alignment horizontal="center" vertical="center" wrapText="1"/>
    </xf>
    <xf numFmtId="0" fontId="19" fillId="6" borderId="111" xfId="0" applyFont="1" applyFill="1" applyBorder="1" applyAlignment="1">
      <alignment horizontal="center" vertical="center" wrapText="1"/>
    </xf>
    <xf numFmtId="167" fontId="20" fillId="6" borderId="112" xfId="1" applyNumberFormat="1" applyFont="1" applyFill="1" applyBorder="1" applyAlignment="1">
      <alignment horizontal="center" vertical="center" shrinkToFit="1"/>
    </xf>
    <xf numFmtId="167" fontId="20" fillId="6" borderId="43" xfId="1" applyNumberFormat="1" applyFont="1" applyFill="1" applyBorder="1" applyAlignment="1">
      <alignment horizontal="center" vertical="center" shrinkToFit="1"/>
    </xf>
    <xf numFmtId="167" fontId="20" fillId="6" borderId="113" xfId="1" applyNumberFormat="1" applyFont="1" applyFill="1" applyBorder="1" applyAlignment="1">
      <alignment horizontal="center" vertical="center" shrinkToFit="1"/>
    </xf>
    <xf numFmtId="167" fontId="24" fillId="6" borderId="114" xfId="1" applyNumberFormat="1" applyFont="1" applyFill="1" applyBorder="1" applyAlignment="1">
      <alignment horizontal="center" vertical="center" shrinkToFit="1"/>
    </xf>
    <xf numFmtId="167" fontId="24" fillId="6" borderId="115" xfId="1" applyNumberFormat="1" applyFont="1" applyFill="1" applyBorder="1" applyAlignment="1">
      <alignment horizontal="center" vertical="center" shrinkToFit="1"/>
    </xf>
    <xf numFmtId="167" fontId="33" fillId="15" borderId="116" xfId="1" applyNumberFormat="1" applyFont="1" applyFill="1" applyBorder="1" applyAlignment="1">
      <alignment horizontal="center" vertical="center" shrinkToFit="1"/>
    </xf>
    <xf numFmtId="166" fontId="20" fillId="7" borderId="162" xfId="1" applyNumberFormat="1" applyFont="1" applyFill="1" applyBorder="1" applyAlignment="1">
      <alignment horizontal="center" vertical="center"/>
    </xf>
    <xf numFmtId="166" fontId="20" fillId="7" borderId="163" xfId="1" applyNumberFormat="1" applyFont="1" applyFill="1" applyBorder="1" applyAlignment="1">
      <alignment horizontal="center" vertical="center"/>
    </xf>
    <xf numFmtId="166" fontId="20" fillId="7" borderId="164" xfId="1" applyNumberFormat="1" applyFont="1" applyFill="1" applyBorder="1" applyAlignment="1">
      <alignment horizontal="center" vertical="center"/>
    </xf>
    <xf numFmtId="166" fontId="24" fillId="6" borderId="165" xfId="1" applyNumberFormat="1" applyFont="1" applyFill="1" applyBorder="1" applyAlignment="1">
      <alignment horizontal="center" vertical="center"/>
    </xf>
    <xf numFmtId="166" fontId="20" fillId="7" borderId="29" xfId="1" applyNumberFormat="1" applyFont="1" applyFill="1" applyBorder="1" applyAlignment="1">
      <alignment horizontal="center" vertical="center"/>
    </xf>
    <xf numFmtId="170" fontId="25" fillId="15" borderId="166" xfId="1" applyNumberFormat="1" applyFont="1" applyFill="1" applyBorder="1" applyAlignment="1">
      <alignment horizontal="center" vertical="center"/>
    </xf>
    <xf numFmtId="170" fontId="21" fillId="3" borderId="167" xfId="2" applyNumberFormat="1" applyFont="1" applyFill="1" applyBorder="1" applyAlignment="1" applyProtection="1">
      <alignment horizontal="center" vertical="center"/>
      <protection locked="0"/>
    </xf>
    <xf numFmtId="170" fontId="21" fillId="3" borderId="168" xfId="2" applyNumberFormat="1" applyFont="1" applyFill="1" applyBorder="1" applyAlignment="1" applyProtection="1">
      <alignment horizontal="center" vertical="center"/>
      <protection locked="0"/>
    </xf>
    <xf numFmtId="170" fontId="21" fillId="3" borderId="13" xfId="2" applyNumberFormat="1" applyFont="1" applyFill="1" applyBorder="1" applyAlignment="1" applyProtection="1">
      <alignment horizontal="center" vertical="center"/>
      <protection locked="0"/>
    </xf>
    <xf numFmtId="170" fontId="21" fillId="3" borderId="169" xfId="2" applyNumberFormat="1" applyFont="1" applyFill="1" applyBorder="1" applyAlignment="1" applyProtection="1">
      <alignment horizontal="center" vertical="center"/>
      <protection locked="0"/>
    </xf>
    <xf numFmtId="170" fontId="21" fillId="3" borderId="170" xfId="2" applyNumberFormat="1" applyFont="1" applyFill="1" applyBorder="1" applyAlignment="1" applyProtection="1">
      <alignment horizontal="center" vertical="center"/>
      <protection locked="0"/>
    </xf>
    <xf numFmtId="170" fontId="21" fillId="3" borderId="171" xfId="2" applyNumberFormat="1" applyFont="1" applyFill="1" applyBorder="1" applyAlignment="1" applyProtection="1">
      <alignment horizontal="center" vertical="center"/>
      <protection locked="0"/>
    </xf>
    <xf numFmtId="170" fontId="21" fillId="3" borderId="172" xfId="2" applyNumberFormat="1" applyFont="1" applyFill="1" applyBorder="1" applyAlignment="1" applyProtection="1">
      <alignment horizontal="center" vertical="center"/>
      <protection locked="0"/>
    </xf>
    <xf numFmtId="170" fontId="21" fillId="3" borderId="173" xfId="2" applyNumberFormat="1" applyFont="1" applyFill="1" applyBorder="1" applyAlignment="1" applyProtection="1">
      <alignment horizontal="center" vertical="center"/>
      <protection locked="0"/>
    </xf>
    <xf numFmtId="170" fontId="21" fillId="3" borderId="174" xfId="2" applyNumberFormat="1" applyFont="1" applyFill="1" applyBorder="1" applyAlignment="1" applyProtection="1">
      <alignment horizontal="center" vertical="center"/>
      <protection locked="0"/>
    </xf>
    <xf numFmtId="9" fontId="21" fillId="3" borderId="174" xfId="2" applyFont="1" applyFill="1" applyBorder="1" applyAlignment="1" applyProtection="1">
      <alignment horizontal="center" vertical="center"/>
      <protection locked="0"/>
    </xf>
    <xf numFmtId="164" fontId="21" fillId="3" borderId="175" xfId="1" applyNumberFormat="1" applyFont="1" applyFill="1" applyBorder="1" applyAlignment="1" applyProtection="1">
      <alignment horizontal="center" vertical="center"/>
      <protection locked="0"/>
    </xf>
    <xf numFmtId="167" fontId="33" fillId="15" borderId="176" xfId="1" applyNumberFormat="1" applyFont="1" applyFill="1" applyBorder="1" applyAlignment="1">
      <alignment horizontal="center" vertical="center" shrinkToFit="1"/>
    </xf>
    <xf numFmtId="0" fontId="19" fillId="15" borderId="177" xfId="0" applyFont="1" applyFill="1" applyBorder="1" applyAlignment="1">
      <alignment horizontal="left" vertical="center" indent="1"/>
    </xf>
    <xf numFmtId="0" fontId="19" fillId="15" borderId="178" xfId="0" applyFont="1" applyFill="1" applyBorder="1" applyAlignment="1">
      <alignment horizontal="left" vertical="center"/>
    </xf>
    <xf numFmtId="166" fontId="31" fillId="15" borderId="178" xfId="1" applyNumberFormat="1" applyFont="1" applyFill="1" applyBorder="1" applyAlignment="1">
      <alignment horizontal="center" vertical="center"/>
    </xf>
    <xf numFmtId="0" fontId="19" fillId="15" borderId="179" xfId="0" applyFont="1" applyFill="1" applyBorder="1" applyAlignment="1">
      <alignment horizontal="left" vertical="center"/>
    </xf>
    <xf numFmtId="166" fontId="31" fillId="15" borderId="179" xfId="1" applyNumberFormat="1" applyFont="1" applyFill="1" applyBorder="1" applyAlignment="1">
      <alignment horizontal="center" vertical="center"/>
    </xf>
    <xf numFmtId="170" fontId="35" fillId="15" borderId="180" xfId="1" applyNumberFormat="1" applyFont="1" applyFill="1" applyBorder="1" applyAlignment="1">
      <alignment horizontal="left" vertical="center"/>
    </xf>
    <xf numFmtId="168" fontId="0" fillId="2" borderId="0" xfId="0" applyNumberFormat="1" applyFill="1" applyAlignment="1">
      <alignment horizontal="center" vertical="center"/>
    </xf>
    <xf numFmtId="0" fontId="0" fillId="8" borderId="195" xfId="0" applyFill="1" applyBorder="1" applyAlignment="1">
      <alignment horizontal="left" vertical="center"/>
    </xf>
    <xf numFmtId="0" fontId="0" fillId="8" borderId="108" xfId="0" applyFill="1" applyBorder="1" applyAlignment="1">
      <alignment horizontal="left" vertical="center"/>
    </xf>
    <xf numFmtId="9" fontId="21" fillId="3" borderId="196" xfId="2" applyFont="1" applyFill="1" applyBorder="1" applyAlignment="1" applyProtection="1">
      <alignment horizontal="center" vertical="center"/>
      <protection locked="0"/>
    </xf>
    <xf numFmtId="170" fontId="25" fillId="15" borderId="215" xfId="1" applyNumberFormat="1" applyFont="1" applyFill="1" applyBorder="1" applyAlignment="1">
      <alignment horizontal="center" vertical="center"/>
    </xf>
    <xf numFmtId="0" fontId="40" fillId="7" borderId="94" xfId="0" applyFont="1" applyFill="1" applyBorder="1" applyAlignment="1">
      <alignment horizontal="left" vertical="center" indent="1"/>
    </xf>
    <xf numFmtId="0" fontId="40" fillId="7" borderId="87" xfId="0" applyFont="1" applyFill="1" applyBorder="1" applyAlignment="1">
      <alignment horizontal="left" vertical="center" indent="1"/>
    </xf>
    <xf numFmtId="169" fontId="0" fillId="4" borderId="31" xfId="0" applyNumberFormat="1" applyFill="1" applyBorder="1" applyAlignment="1">
      <alignment horizontal="left" vertical="center"/>
    </xf>
    <xf numFmtId="0" fontId="37" fillId="7" borderId="200" xfId="0" applyFont="1" applyFill="1" applyBorder="1" applyAlignment="1">
      <alignment horizontal="left" vertical="center" indent="1"/>
    </xf>
    <xf numFmtId="0" fontId="37" fillId="7" borderId="201" xfId="0" applyFont="1" applyFill="1" applyBorder="1" applyAlignment="1">
      <alignment horizontal="left" vertical="center" indent="1"/>
    </xf>
    <xf numFmtId="0" fontId="37" fillId="7" borderId="202" xfId="0" applyFont="1" applyFill="1" applyBorder="1" applyAlignment="1">
      <alignment horizontal="left" vertical="center" indent="1"/>
    </xf>
    <xf numFmtId="0" fontId="37" fillId="7" borderId="203" xfId="0" applyFont="1" applyFill="1" applyBorder="1" applyAlignment="1">
      <alignment horizontal="left" vertical="center" indent="1"/>
    </xf>
    <xf numFmtId="0" fontId="19" fillId="10" borderId="204" xfId="0" applyFont="1" applyFill="1" applyBorder="1" applyAlignment="1">
      <alignment horizontal="center" vertical="center" wrapText="1"/>
    </xf>
    <xf numFmtId="0" fontId="19" fillId="10" borderId="205" xfId="0" applyFont="1" applyFill="1" applyBorder="1" applyAlignment="1">
      <alignment horizontal="center" vertical="center" wrapText="1"/>
    </xf>
    <xf numFmtId="0" fontId="19" fillId="10" borderId="104" xfId="0" applyFont="1" applyFill="1" applyBorder="1" applyAlignment="1">
      <alignment horizontal="center" vertical="center" wrapText="1"/>
    </xf>
    <xf numFmtId="0" fontId="19" fillId="10" borderId="181" xfId="0" applyFont="1" applyFill="1" applyBorder="1" applyAlignment="1">
      <alignment horizontal="center" vertical="center" wrapText="1"/>
    </xf>
    <xf numFmtId="0" fontId="19" fillId="10" borderId="182"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36" fillId="15" borderId="195" xfId="0" applyFont="1" applyFill="1" applyBorder="1" applyAlignment="1">
      <alignment horizontal="center" vertical="center"/>
    </xf>
    <xf numFmtId="0" fontId="36" fillId="15" borderId="108" xfId="0" applyFont="1" applyFill="1" applyBorder="1" applyAlignment="1">
      <alignment horizontal="center" vertical="center"/>
    </xf>
    <xf numFmtId="0" fontId="36" fillId="15" borderId="196" xfId="0" applyFont="1" applyFill="1" applyBorder="1" applyAlignment="1">
      <alignment horizontal="center" vertical="center"/>
    </xf>
    <xf numFmtId="0" fontId="19" fillId="14" borderId="189" xfId="0" applyFont="1" applyFill="1" applyBorder="1" applyAlignment="1">
      <alignment horizontal="center" vertical="center"/>
    </xf>
    <xf numFmtId="0" fontId="19" fillId="14" borderId="3" xfId="0" applyFont="1" applyFill="1" applyBorder="1" applyAlignment="1">
      <alignment horizontal="center" vertical="center"/>
    </xf>
    <xf numFmtId="0" fontId="19" fillId="14" borderId="156" xfId="0" applyFont="1" applyFill="1" applyBorder="1" applyAlignment="1">
      <alignment horizontal="center" vertical="center"/>
    </xf>
    <xf numFmtId="171" fontId="33" fillId="15" borderId="179" xfId="1" applyNumberFormat="1" applyFont="1" applyFill="1" applyBorder="1" applyAlignment="1">
      <alignment horizontal="center" vertical="center"/>
    </xf>
    <xf numFmtId="171" fontId="33" fillId="15" borderId="186" xfId="1" applyNumberFormat="1" applyFont="1" applyFill="1" applyBorder="1" applyAlignment="1">
      <alignment horizontal="center" vertical="center"/>
    </xf>
    <xf numFmtId="0" fontId="19" fillId="14" borderId="187" xfId="0" applyFont="1" applyFill="1" applyBorder="1" applyAlignment="1">
      <alignment horizontal="center" vertical="center"/>
    </xf>
    <xf numFmtId="0" fontId="19" fillId="14" borderId="188" xfId="0" applyFont="1" applyFill="1" applyBorder="1" applyAlignment="1">
      <alignment horizontal="center" vertical="center"/>
    </xf>
    <xf numFmtId="0" fontId="19" fillId="14" borderId="190" xfId="0" applyFont="1" applyFill="1" applyBorder="1" applyAlignment="1">
      <alignment horizontal="center" vertical="center"/>
    </xf>
    <xf numFmtId="0" fontId="32" fillId="14" borderId="191" xfId="0" applyFont="1" applyFill="1" applyBorder="1" applyAlignment="1">
      <alignment horizontal="center" vertical="center"/>
    </xf>
    <xf numFmtId="0" fontId="32" fillId="14" borderId="4" xfId="0" applyFont="1" applyFill="1" applyBorder="1" applyAlignment="1">
      <alignment horizontal="center" vertical="center"/>
    </xf>
    <xf numFmtId="0" fontId="36" fillId="13" borderId="192" xfId="0" applyFont="1" applyFill="1" applyBorder="1" applyAlignment="1">
      <alignment horizontal="center" vertical="center"/>
    </xf>
    <xf numFmtId="0" fontId="36" fillId="13" borderId="193" xfId="0" applyFont="1" applyFill="1" applyBorder="1" applyAlignment="1">
      <alignment horizontal="center" vertical="center"/>
    </xf>
    <xf numFmtId="0" fontId="36" fillId="13" borderId="194" xfId="0" applyFont="1" applyFill="1" applyBorder="1" applyAlignment="1">
      <alignment horizontal="center" vertical="center"/>
    </xf>
    <xf numFmtId="0" fontId="19" fillId="7" borderId="197" xfId="0" applyFont="1" applyFill="1" applyBorder="1" applyAlignment="1">
      <alignment horizontal="left" vertical="center" indent="1"/>
    </xf>
    <xf numFmtId="0" fontId="19" fillId="7" borderId="186" xfId="0" applyFont="1" applyFill="1" applyBorder="1" applyAlignment="1">
      <alignment horizontal="left" vertical="center" indent="1"/>
    </xf>
    <xf numFmtId="0" fontId="37" fillId="7" borderId="198" xfId="0" applyFont="1" applyFill="1" applyBorder="1" applyAlignment="1">
      <alignment horizontal="left" vertical="center" indent="1"/>
    </xf>
    <xf numFmtId="0" fontId="37" fillId="7" borderId="199" xfId="0" applyFont="1" applyFill="1" applyBorder="1" applyAlignment="1">
      <alignment horizontal="left" vertical="center" indent="1"/>
    </xf>
    <xf numFmtId="0" fontId="36" fillId="15" borderId="192" xfId="0" applyFont="1" applyFill="1" applyBorder="1" applyAlignment="1">
      <alignment horizontal="center" vertical="center"/>
    </xf>
    <xf numFmtId="0" fontId="36" fillId="15" borderId="193" xfId="0" applyFont="1" applyFill="1" applyBorder="1" applyAlignment="1">
      <alignment horizontal="center" vertical="center"/>
    </xf>
    <xf numFmtId="0" fontId="36" fillId="15" borderId="194" xfId="0" applyFont="1" applyFill="1" applyBorder="1" applyAlignment="1">
      <alignment horizontal="center" vertical="center"/>
    </xf>
    <xf numFmtId="0" fontId="19" fillId="8" borderId="181" xfId="0" applyFont="1" applyFill="1" applyBorder="1" applyAlignment="1">
      <alignment horizontal="center" vertical="center" wrapText="1"/>
    </xf>
    <xf numFmtId="0" fontId="19" fillId="8" borderId="182" xfId="0" applyFont="1" applyFill="1" applyBorder="1" applyAlignment="1">
      <alignment horizontal="center" vertical="center" wrapText="1"/>
    </xf>
    <xf numFmtId="0" fontId="19" fillId="8" borderId="24" xfId="0" applyFont="1" applyFill="1" applyBorder="1" applyAlignment="1">
      <alignment horizontal="center" vertical="center" wrapText="1"/>
    </xf>
    <xf numFmtId="0" fontId="19" fillId="8" borderId="183" xfId="0" applyFont="1" applyFill="1" applyBorder="1" applyAlignment="1">
      <alignment horizontal="center" vertical="center" wrapText="1"/>
    </xf>
    <xf numFmtId="0" fontId="19" fillId="8" borderId="184" xfId="0" applyFont="1" applyFill="1" applyBorder="1" applyAlignment="1">
      <alignment horizontal="center" vertical="center" wrapText="1"/>
    </xf>
    <xf numFmtId="0" fontId="19" fillId="8" borderId="185"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206" xfId="0" applyFont="1" applyFill="1" applyBorder="1" applyAlignment="1">
      <alignment horizontal="center" vertical="center"/>
    </xf>
    <xf numFmtId="0" fontId="22" fillId="12" borderId="193" xfId="0" applyFont="1" applyFill="1" applyBorder="1" applyAlignment="1">
      <alignment horizontal="center" vertical="center"/>
    </xf>
    <xf numFmtId="0" fontId="22" fillId="12" borderId="194" xfId="0" applyFont="1" applyFill="1" applyBorder="1" applyAlignment="1">
      <alignment horizontal="center" vertical="center"/>
    </xf>
    <xf numFmtId="0" fontId="22" fillId="12" borderId="207" xfId="0" applyFont="1" applyFill="1" applyBorder="1" applyAlignment="1">
      <alignment horizontal="center" vertical="center"/>
    </xf>
    <xf numFmtId="0" fontId="22" fillId="12" borderId="208" xfId="0" applyFont="1" applyFill="1" applyBorder="1" applyAlignment="1">
      <alignment horizontal="center" vertical="center"/>
    </xf>
    <xf numFmtId="0" fontId="19" fillId="12" borderId="209" xfId="0" applyFont="1" applyFill="1" applyBorder="1" applyAlignment="1">
      <alignment horizontal="center" vertical="center"/>
    </xf>
    <xf numFmtId="0" fontId="19" fillId="12" borderId="210" xfId="0" applyFont="1" applyFill="1" applyBorder="1" applyAlignment="1">
      <alignment horizontal="center" vertical="center"/>
    </xf>
    <xf numFmtId="0" fontId="19" fillId="5" borderId="32" xfId="0" applyFont="1" applyFill="1" applyBorder="1" applyAlignment="1">
      <alignment horizontal="center" vertical="center"/>
    </xf>
    <xf numFmtId="0" fontId="19" fillId="5" borderId="1" xfId="0" applyFont="1" applyFill="1" applyBorder="1" applyAlignment="1">
      <alignment horizontal="center" vertical="center"/>
    </xf>
    <xf numFmtId="0" fontId="19" fillId="4" borderId="211" xfId="0" applyFont="1" applyFill="1" applyBorder="1" applyAlignment="1">
      <alignment horizontal="center" vertical="center"/>
    </xf>
    <xf numFmtId="0" fontId="19" fillId="4" borderId="212" xfId="0" applyFont="1" applyFill="1" applyBorder="1" applyAlignment="1">
      <alignment horizontal="center" vertical="center"/>
    </xf>
    <xf numFmtId="0" fontId="19" fillId="7" borderId="213" xfId="0" applyFont="1" applyFill="1" applyBorder="1" applyAlignment="1">
      <alignment horizontal="center" vertical="center"/>
    </xf>
    <xf numFmtId="0" fontId="19" fillId="7" borderId="18" xfId="0" applyFont="1" applyFill="1" applyBorder="1" applyAlignment="1">
      <alignment horizontal="center" vertical="center"/>
    </xf>
    <xf numFmtId="0" fontId="19" fillId="7" borderId="214" xfId="0" applyFont="1" applyFill="1" applyBorder="1" applyAlignment="1">
      <alignment horizontal="center" vertical="center"/>
    </xf>
    <xf numFmtId="0" fontId="19" fillId="13" borderId="13" xfId="0" applyFont="1" applyFill="1" applyBorder="1" applyAlignment="1">
      <alignment horizontal="right" vertical="center"/>
    </xf>
    <xf numFmtId="1" fontId="21" fillId="3" borderId="196" xfId="1" applyNumberFormat="1" applyFont="1" applyFill="1" applyBorder="1" applyAlignment="1" applyProtection="1">
      <alignment horizontal="center" vertical="center"/>
      <protection locked="0"/>
    </xf>
    <xf numFmtId="0" fontId="20" fillId="4" borderId="30" xfId="0" applyFont="1" applyFill="1" applyBorder="1" applyAlignment="1">
      <alignment vertical="center"/>
    </xf>
    <xf numFmtId="1" fontId="20" fillId="0" borderId="0" xfId="0" applyNumberFormat="1" applyFont="1" applyAlignment="1">
      <alignment horizontal="left" vertical="center" indent="1"/>
    </xf>
    <xf numFmtId="0" fontId="24" fillId="13" borderId="12" xfId="0" applyFont="1" applyFill="1" applyBorder="1" applyAlignment="1">
      <alignment horizontal="left" vertical="center" indent="1"/>
    </xf>
  </cellXfs>
  <cellStyles count="3">
    <cellStyle name="Κανονικό" xfId="0" builtinId="0"/>
    <cellStyle name="Νομισματική μονάδα" xfId="1" builtinId="4"/>
    <cellStyle name="Ποσοστό" xfId="2" builtinId="5"/>
  </cellStyles>
  <dxfs count="3">
    <dxf>
      <font>
        <color rgb="FF9C0006"/>
      </font>
    </dxf>
    <dxf>
      <font>
        <color rgb="FFFFFF00"/>
      </font>
    </dxf>
    <dxf>
      <font>
        <color auto="1"/>
      </font>
    </dxf>
  </dxfs>
  <tableStyles count="0" defaultTableStyle="TableStyleMedium9" defaultPivotStyle="PivotStyleLight16"/>
  <colors>
    <mruColors>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M$5" lockText="1"/>
</file>

<file path=xl/ctrlProps/ctrlProp10.xml><?xml version="1.0" encoding="utf-8"?>
<formControlPr xmlns="http://schemas.microsoft.com/office/spreadsheetml/2009/9/main" objectType="CheckBox" checked="Checked" fmlaLink="$M$11" lockText="1"/>
</file>

<file path=xl/ctrlProps/ctrlProp11.xml><?xml version="1.0" encoding="utf-8"?>
<formControlPr xmlns="http://schemas.microsoft.com/office/spreadsheetml/2009/9/main" objectType="CheckBox" checked="Checked" fmlaLink="$M$12" lockText="1"/>
</file>

<file path=xl/ctrlProps/ctrlProp12.xml><?xml version="1.0" encoding="utf-8"?>
<formControlPr xmlns="http://schemas.microsoft.com/office/spreadsheetml/2009/9/main" objectType="CheckBox" checked="Checked" fmlaLink="$O$10" lockText="1"/>
</file>

<file path=xl/ctrlProps/ctrlProp13.xml><?xml version="1.0" encoding="utf-8"?>
<formControlPr xmlns="http://schemas.microsoft.com/office/spreadsheetml/2009/9/main" objectType="CheckBox" checked="Checked" fmlaLink="$O$11" lockText="1"/>
</file>

<file path=xl/ctrlProps/ctrlProp14.xml><?xml version="1.0" encoding="utf-8"?>
<formControlPr xmlns="http://schemas.microsoft.com/office/spreadsheetml/2009/9/main" objectType="CheckBox" fmlaLink="$O$9" lockText="1"/>
</file>

<file path=xl/ctrlProps/ctrlProp15.xml><?xml version="1.0" encoding="utf-8"?>
<formControlPr xmlns="http://schemas.microsoft.com/office/spreadsheetml/2009/9/main" objectType="CheckBox" fmlaLink="$O$1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CheckBox" fmlaLink="$N$9" lockText="1"/>
</file>

<file path=xl/ctrlProps/ctrlProp5.xml><?xml version="1.0" encoding="utf-8"?>
<formControlPr xmlns="http://schemas.microsoft.com/office/spreadsheetml/2009/9/main" objectType="CheckBox" fmlaLink="$N$10" lockText="1"/>
</file>

<file path=xl/ctrlProps/ctrlProp6.xml><?xml version="1.0" encoding="utf-8"?>
<formControlPr xmlns="http://schemas.microsoft.com/office/spreadsheetml/2009/9/main" objectType="CheckBox" fmlaLink="$N$11" lockText="1"/>
</file>

<file path=xl/ctrlProps/ctrlProp7.xml><?xml version="1.0" encoding="utf-8"?>
<formControlPr xmlns="http://schemas.microsoft.com/office/spreadsheetml/2009/9/main" objectType="CheckBox" fmlaLink="$N$12" lockText="1"/>
</file>

<file path=xl/ctrlProps/ctrlProp8.xml><?xml version="1.0" encoding="utf-8"?>
<formControlPr xmlns="http://schemas.microsoft.com/office/spreadsheetml/2009/9/main" objectType="CheckBox" checked="Checked" fmlaLink="$M$9" lockText="1"/>
</file>

<file path=xl/ctrlProps/ctrlProp9.xml><?xml version="1.0" encoding="utf-8"?>
<formControlPr xmlns="http://schemas.microsoft.com/office/spreadsheetml/2009/9/main" objectType="CheckBox" checked="Checked" fmlaLink="$M$10" lockText="1"/>
</file>

<file path=xl/drawings/_rels/drawing1.xml.rels><?xml version="1.0" encoding="UTF-8" standalone="yes"?>
<Relationships xmlns="http://schemas.openxmlformats.org/package/2006/relationships"><Relationship Id="rId3" Type="http://schemas.openxmlformats.org/officeDocument/2006/relationships/hyperlink" Target="http://bit.ly/eshop-4pdf" TargetMode="External"/><Relationship Id="rId2" Type="http://schemas.openxmlformats.org/officeDocument/2006/relationships/image" Target="../media/image1.gif"/><Relationship Id="rId1" Type="http://schemas.openxmlformats.org/officeDocument/2006/relationships/hyperlink" Target="https://www.win2.gr/e-shop/&#955;&#959;&#947;&#953;&#963;&#956;&#953;&#954;&#972;-excel/2-&#963;&#949;-1-excel-&#957;-4495-17-&#957;-4178-13-&#956;&#963;&#949;/" TargetMode="External"/><Relationship Id="rId5" Type="http://schemas.openxmlformats.org/officeDocument/2006/relationships/image" Target="../media/image3.jpeg"/><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1162050</xdr:colOff>
      <xdr:row>1</xdr:row>
      <xdr:rowOff>143082</xdr:rowOff>
    </xdr:from>
    <xdr:to>
      <xdr:col>4</xdr:col>
      <xdr:colOff>1076325</xdr:colOff>
      <xdr:row>1</xdr:row>
      <xdr:rowOff>790367</xdr:rowOff>
    </xdr:to>
    <xdr:pic>
      <xdr:nvPicPr>
        <xdr:cNvPr id="1171" name="23 - Εικόνα">
          <a:hlinkClick xmlns:r="http://schemas.openxmlformats.org/officeDocument/2006/relationships" r:id="rId1"/>
          <a:extLst>
            <a:ext uri="{FF2B5EF4-FFF2-40B4-BE49-F238E27FC236}">
              <a16:creationId xmlns:a16="http://schemas.microsoft.com/office/drawing/2014/main" id="{00000000-0008-0000-0000-000093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543050" y="371682"/>
          <a:ext cx="4962525" cy="64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5</xdr:row>
      <xdr:rowOff>219075</xdr:rowOff>
    </xdr:from>
    <xdr:to>
      <xdr:col>10</xdr:col>
      <xdr:colOff>762000</xdr:colOff>
      <xdr:row>15</xdr:row>
      <xdr:rowOff>47625</xdr:rowOff>
    </xdr:to>
    <xdr:pic>
      <xdr:nvPicPr>
        <xdr:cNvPr id="1172" name="24 - Εικόνα" descr="win2-4pdf-272.gif">
          <a:hlinkClick xmlns:r="http://schemas.openxmlformats.org/officeDocument/2006/relationships" r:id="rId3"/>
          <a:extLst>
            <a:ext uri="{FF2B5EF4-FFF2-40B4-BE49-F238E27FC236}">
              <a16:creationId xmlns:a16="http://schemas.microsoft.com/office/drawing/2014/main" id="{00000000-0008-0000-0000-0000940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58425" y="2095500"/>
          <a:ext cx="2619375"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276224</xdr:colOff>
      <xdr:row>1</xdr:row>
      <xdr:rowOff>962024</xdr:rowOff>
    </xdr:from>
    <xdr:to>
      <xdr:col>17</xdr:col>
      <xdr:colOff>38624</xdr:colOff>
      <xdr:row>17</xdr:row>
      <xdr:rowOff>19050</xdr:rowOff>
    </xdr:to>
    <xdr:sp macro="" textlink="">
      <xdr:nvSpPr>
        <xdr:cNvPr id="4" name="3 - TextBox">
          <a:extLst>
            <a:ext uri="{FF2B5EF4-FFF2-40B4-BE49-F238E27FC236}">
              <a16:creationId xmlns:a16="http://schemas.microsoft.com/office/drawing/2014/main" id="{00000000-0008-0000-0000-000004000000}"/>
            </a:ext>
          </a:extLst>
        </xdr:cNvPr>
        <xdr:cNvSpPr txBox="1"/>
      </xdr:nvSpPr>
      <xdr:spPr>
        <a:xfrm>
          <a:off x="13630274" y="1190624"/>
          <a:ext cx="3420000" cy="4124326"/>
        </a:xfrm>
        <a:prstGeom prst="rect">
          <a:avLst/>
        </a:prstGeom>
        <a:blipFill>
          <a:blip xmlns:r="http://schemas.openxmlformats.org/officeDocument/2006/relationships" r:embed="rId5"/>
          <a:tile tx="0" ty="0" sx="100000" sy="100000" flip="none" algn="tl"/>
        </a:blipFill>
        <a:ln w="38100" cmpd="sng">
          <a:solidFill>
            <a:srgbClr val="C00000"/>
          </a:solidFill>
        </a:ln>
        <a:effectLst>
          <a:outerShdw blurRad="50800" dist="38100" dir="2700000" algn="tl" rotWithShape="0">
            <a:schemeClr val="accent6">
              <a:lumMod val="20000"/>
              <a:lumOff val="80000"/>
              <a:alpha val="40000"/>
            </a:schemeClr>
          </a:outerShdw>
        </a:effectLst>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wrap="square" lIns="144000" tIns="144000" rIns="144000" bIns="14400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l-GR" sz="1100" b="1" u="sng">
              <a:solidFill>
                <a:srgbClr val="C00000"/>
              </a:solidFill>
            </a:rPr>
            <a:t>ΠΡΟΣΟΧΗ! </a:t>
          </a:r>
        </a:p>
        <a:p>
          <a:pPr marL="0" marR="0" indent="0" algn="ctr" defTabSz="914400" eaLnBrk="1" fontAlgn="auto" latinLnBrk="0" hangingPunct="1">
            <a:lnSpc>
              <a:spcPct val="100000"/>
            </a:lnSpc>
            <a:spcBef>
              <a:spcPts val="0"/>
            </a:spcBef>
            <a:spcAft>
              <a:spcPts val="0"/>
            </a:spcAft>
            <a:buClrTx/>
            <a:buSzTx/>
            <a:buFontTx/>
            <a:buNone/>
            <a:tabLst/>
            <a:defRPr/>
          </a:pPr>
          <a:r>
            <a:rPr lang="el-GR" sz="1100" strike="sngStrike">
              <a:solidFill>
                <a:srgbClr val="C00000"/>
              </a:solidFill>
              <a:latin typeface="+mn-lt"/>
              <a:ea typeface="+mn-ea"/>
              <a:cs typeface="+mn-cs"/>
            </a:rPr>
            <a:t>(βλ. άρθρο</a:t>
          </a:r>
          <a:r>
            <a:rPr lang="el-GR" sz="1100" strike="sngStrike" baseline="0">
              <a:solidFill>
                <a:srgbClr val="C00000"/>
              </a:solidFill>
              <a:latin typeface="+mn-lt"/>
              <a:ea typeface="+mn-ea"/>
              <a:cs typeface="+mn-cs"/>
            </a:rPr>
            <a:t> 39, §2)</a:t>
          </a:r>
          <a:endParaRPr lang="el-GR" sz="1100" strike="sngStrike">
            <a:solidFill>
              <a:srgbClr val="C00000"/>
            </a:solidFill>
            <a:latin typeface="+mn-lt"/>
            <a:ea typeface="+mn-ea"/>
            <a:cs typeface="+mn-cs"/>
          </a:endParaRPr>
        </a:p>
        <a:p>
          <a:pPr algn="just"/>
          <a:endParaRPr lang="el-GR" sz="1100" b="1" u="sng">
            <a:solidFill>
              <a:srgbClr val="C00000"/>
            </a:solidFill>
          </a:endParaRPr>
        </a:p>
        <a:p>
          <a:pPr algn="just"/>
          <a:r>
            <a:rPr lang="el-GR" sz="1100">
              <a:solidFill>
                <a:srgbClr val="008000"/>
              </a:solidFill>
            </a:rPr>
            <a:t>Με την §1 του άρθρου 1 του Ν.4578/18, από 1.1.2019 καταργήθηκαν οι μειώσεις για τους</a:t>
          </a:r>
          <a:r>
            <a:rPr lang="el-GR" sz="1100" baseline="0">
              <a:solidFill>
                <a:srgbClr val="008000"/>
              </a:solidFill>
            </a:rPr>
            <a:t> κάτω 5ετίας μηχανικούς.</a:t>
          </a:r>
        </a:p>
        <a:p>
          <a:pPr algn="just"/>
          <a:r>
            <a:rPr lang="el-GR" sz="1100" strike="sngStrike">
              <a:solidFill>
                <a:srgbClr val="C00000"/>
              </a:solidFill>
            </a:rPr>
            <a:t>Στην περίπτωση των ασφαλισμένων  </a:t>
          </a:r>
          <a:r>
            <a:rPr lang="el-GR" sz="1100" b="1" u="sng" strike="sngStrike">
              <a:solidFill>
                <a:srgbClr val="C00000"/>
              </a:solidFill>
            </a:rPr>
            <a:t>&lt;5 ετών</a:t>
          </a:r>
          <a:r>
            <a:rPr lang="el-GR" sz="1100" b="1" u="sng" strike="sngStrike" baseline="0">
              <a:solidFill>
                <a:srgbClr val="C00000"/>
              </a:solidFill>
            </a:rPr>
            <a:t> </a:t>
          </a:r>
          <a:r>
            <a:rPr lang="el-GR" sz="1100" strike="sngStrike">
              <a:solidFill>
                <a:srgbClr val="C00000"/>
              </a:solidFill>
            </a:rPr>
            <a:t>, το </a:t>
          </a:r>
          <a:r>
            <a:rPr lang="el-GR" sz="1100" u="sng" strike="sngStrike">
              <a:solidFill>
                <a:srgbClr val="C00000"/>
              </a:solidFill>
            </a:rPr>
            <a:t>συνολικό ποσό που υπολείπεται του ποσοστού 20%</a:t>
          </a:r>
          <a:r>
            <a:rPr lang="el-GR" sz="1100" strike="sngStrike">
              <a:solidFill>
                <a:srgbClr val="C00000"/>
              </a:solidFill>
            </a:rPr>
            <a:t> μηνιαίας ασφαλιστικής εισφοράς κατά τα 5 πρώτα έτη ασφάλισης </a:t>
          </a:r>
          <a:r>
            <a:rPr lang="el-GR" sz="1100" b="1" u="sng" strike="sngStrike">
              <a:solidFill>
                <a:srgbClr val="C00000"/>
              </a:solidFill>
            </a:rPr>
            <a:t>αποτελεί ασφαλιστική οφειλή </a:t>
          </a:r>
          <a:r>
            <a:rPr lang="el-GR" sz="1100" strike="sngStrike">
              <a:solidFill>
                <a:srgbClr val="C00000"/>
              </a:solidFill>
            </a:rPr>
            <a:t> υπολογιζόμενη επί του μηνιαίου εισοδήματος,  </a:t>
          </a:r>
          <a:r>
            <a:rPr lang="el-GR" sz="1100" u="sng" strike="sngStrike">
              <a:solidFill>
                <a:srgbClr val="C00000"/>
              </a:solidFill>
            </a:rPr>
            <a:t>προσαυξημένου</a:t>
          </a:r>
          <a:r>
            <a:rPr lang="el-GR" sz="1100" strike="sngStrike">
              <a:solidFill>
                <a:srgbClr val="C00000"/>
              </a:solidFill>
            </a:rPr>
            <a:t> κατά την ετήσια μεταβολή μισθών, όπως αυτή καθορίζεται από την Ελληνική Στατιστική Αρχή. </a:t>
          </a:r>
        </a:p>
        <a:p>
          <a:pPr algn="just"/>
          <a:r>
            <a:rPr lang="el-GR" sz="1100" strike="sngStrike">
              <a:solidFill>
                <a:srgbClr val="C00000"/>
              </a:solidFill>
            </a:rPr>
            <a:t>Η οφειλή </a:t>
          </a:r>
          <a:r>
            <a:rPr lang="el-GR" sz="1100" b="1" u="sng" strike="sngStrike">
              <a:solidFill>
                <a:srgbClr val="C00000"/>
              </a:solidFill>
            </a:rPr>
            <a:t>εξοφλείται</a:t>
          </a:r>
          <a:r>
            <a:rPr lang="el-GR" sz="1100" strike="sngStrike">
              <a:solidFill>
                <a:srgbClr val="C00000"/>
              </a:solidFill>
            </a:rPr>
            <a:t> κατά 1/5  κατ’ έτος για τα έτη κατά τα οποία το καθαρό φορολογητέο αποτέλεσμα, από την άσκηση δραστηριότητας  του ασφαλισμένου κατά το προηγούμενο φορολογικό έτος, υπερβαίνει το ποσό των 18.000€. </a:t>
          </a:r>
        </a:p>
        <a:p>
          <a:pPr algn="just"/>
          <a:r>
            <a:rPr lang="el-GR" sz="1100" b="1" u="sng" strike="sngStrike">
              <a:solidFill>
                <a:srgbClr val="C00000"/>
              </a:solidFill>
            </a:rPr>
            <a:t>Σε κάθε περίπτωση</a:t>
          </a:r>
          <a:r>
            <a:rPr lang="el-GR" sz="1100" strike="sngStrike">
              <a:solidFill>
                <a:srgbClr val="C00000"/>
              </a:solidFill>
            </a:rPr>
            <a:t> η οφειλή εξοφλείται  εξ ολοκλήρου </a:t>
          </a:r>
          <a:r>
            <a:rPr lang="el-GR" sz="1100" b="1" u="sng" strike="sngStrike">
              <a:solidFill>
                <a:srgbClr val="C00000"/>
              </a:solidFill>
            </a:rPr>
            <a:t>μέχρι και τη συμπλήρωση 15 ετών ασφάλισης</a:t>
          </a:r>
          <a:r>
            <a:rPr lang="el-GR" sz="1100" strike="sngStrike">
              <a:solidFill>
                <a:srgbClr val="C00000"/>
              </a:solidFill>
            </a:rPr>
            <a:t>.</a:t>
          </a:r>
        </a:p>
      </xdr:txBody>
    </xdr:sp>
    <xdr:clientData/>
  </xdr:twoCellAnchor>
  <mc:AlternateContent xmlns:mc="http://schemas.openxmlformats.org/markup-compatibility/2006">
    <mc:Choice xmlns:a14="http://schemas.microsoft.com/office/drawing/2010/main" Requires="a14">
      <xdr:twoCellAnchor>
        <xdr:from>
          <xdr:col>5</xdr:col>
          <xdr:colOff>0</xdr:colOff>
          <xdr:row>4</xdr:row>
          <xdr:rowOff>0</xdr:rowOff>
        </xdr:from>
        <xdr:to>
          <xdr:col>7</xdr:col>
          <xdr:colOff>1028700</xdr:colOff>
          <xdr:row>4</xdr:row>
          <xdr:rowOff>219075</xdr:rowOff>
        </xdr:to>
        <xdr:grpSp>
          <xdr:nvGrpSpPr>
            <xdr:cNvPr id="1076" name="Group 52">
              <a:extLst>
                <a:ext uri="{FF2B5EF4-FFF2-40B4-BE49-F238E27FC236}">
                  <a16:creationId xmlns:a16="http://schemas.microsoft.com/office/drawing/2014/main" id="{00000000-0008-0000-0000-000034040000}"/>
                </a:ext>
              </a:extLst>
            </xdr:cNvPr>
            <xdr:cNvGrpSpPr>
              <a:grpSpLocks/>
            </xdr:cNvGrpSpPr>
          </xdr:nvGrpSpPr>
          <xdr:grpSpPr bwMode="auto">
            <a:xfrm>
              <a:off x="6543675" y="1647825"/>
              <a:ext cx="3257550" cy="219075"/>
              <a:chOff x="680" y="149"/>
              <a:chExt cx="342" cy="23"/>
            </a:xfrm>
          </xdr:grpSpPr>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680" y="149"/>
                <a:ext cx="7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 2 έτη</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813" y="149"/>
                <a:ext cx="94"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&gt;2 &amp;  ≤5 έτη</a:t>
                </a:r>
              </a:p>
            </xdr:txBody>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959" y="149"/>
                <a:ext cx="6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&gt;5 έτη</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8</xdr:row>
          <xdr:rowOff>0</xdr:rowOff>
        </xdr:from>
        <xdr:to>
          <xdr:col>4</xdr:col>
          <xdr:colOff>1028700</xdr:colOff>
          <xdr:row>11</xdr:row>
          <xdr:rowOff>219075</xdr:rowOff>
        </xdr:to>
        <xdr:grpSp>
          <xdr:nvGrpSpPr>
            <xdr:cNvPr id="1038" name="Group 14">
              <a:extLst>
                <a:ext uri="{FF2B5EF4-FFF2-40B4-BE49-F238E27FC236}">
                  <a16:creationId xmlns:a16="http://schemas.microsoft.com/office/drawing/2014/main" id="{00000000-0008-0000-0000-00000E040000}"/>
                </a:ext>
              </a:extLst>
            </xdr:cNvPr>
            <xdr:cNvGrpSpPr>
              <a:grpSpLocks/>
            </xdr:cNvGrpSpPr>
          </xdr:nvGrpSpPr>
          <xdr:grpSpPr bwMode="auto">
            <a:xfrm>
              <a:off x="6219825" y="2971800"/>
              <a:ext cx="238125" cy="904875"/>
              <a:chOff x="579" y="278"/>
              <a:chExt cx="32" cy="95"/>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579"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579" y="30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579" y="32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579" y="35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8</xdr:row>
          <xdr:rowOff>9525</xdr:rowOff>
        </xdr:from>
        <xdr:to>
          <xdr:col>3</xdr:col>
          <xdr:colOff>352425</xdr:colOff>
          <xdr:row>12</xdr:row>
          <xdr:rowOff>0</xdr:rowOff>
        </xdr:to>
        <xdr:grpSp>
          <xdr:nvGrpSpPr>
            <xdr:cNvPr id="1051" name="Group 27">
              <a:extLst>
                <a:ext uri="{FF2B5EF4-FFF2-40B4-BE49-F238E27FC236}">
                  <a16:creationId xmlns:a16="http://schemas.microsoft.com/office/drawing/2014/main" id="{00000000-0008-0000-0000-00001B040000}"/>
                </a:ext>
              </a:extLst>
            </xdr:cNvPr>
            <xdr:cNvGrpSpPr>
              <a:grpSpLocks/>
            </xdr:cNvGrpSpPr>
          </xdr:nvGrpSpPr>
          <xdr:grpSpPr bwMode="auto">
            <a:xfrm>
              <a:off x="4362450" y="2981325"/>
              <a:ext cx="304800" cy="904875"/>
              <a:chOff x="626" y="245"/>
              <a:chExt cx="32" cy="95"/>
            </a:xfrm>
          </xdr:grpSpPr>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626" y="24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626" y="26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626" y="29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626" y="3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9</xdr:row>
          <xdr:rowOff>0</xdr:rowOff>
        </xdr:from>
        <xdr:to>
          <xdr:col>5</xdr:col>
          <xdr:colOff>1028700</xdr:colOff>
          <xdr:row>9</xdr:row>
          <xdr:rowOff>219075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10</xdr:row>
          <xdr:rowOff>0</xdr:rowOff>
        </xdr:from>
        <xdr:to>
          <xdr:col>5</xdr:col>
          <xdr:colOff>1028700</xdr:colOff>
          <xdr:row>10</xdr:row>
          <xdr:rowOff>219075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8</xdr:row>
          <xdr:rowOff>0</xdr:rowOff>
        </xdr:from>
        <xdr:to>
          <xdr:col>5</xdr:col>
          <xdr:colOff>1028700</xdr:colOff>
          <xdr:row>8</xdr:row>
          <xdr:rowOff>219075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10</xdr:row>
          <xdr:rowOff>209550</xdr:rowOff>
        </xdr:from>
        <xdr:to>
          <xdr:col>5</xdr:col>
          <xdr:colOff>1028700</xdr:colOff>
          <xdr:row>11</xdr:row>
          <xdr:rowOff>200025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tabColor rgb="FF008000"/>
    <pageSetUpPr fitToPage="1"/>
  </sheetPr>
  <dimension ref="B2:O87"/>
  <sheetViews>
    <sheetView showGridLines="0" tabSelected="1" workbookViewId="0">
      <selection activeCell="H3" sqref="H3"/>
    </sheetView>
  </sheetViews>
  <sheetFormatPr defaultRowHeight="18" customHeight="1" x14ac:dyDescent="0.25"/>
  <cols>
    <col min="1" max="1" width="5.7109375" style="1" customWidth="1"/>
    <col min="2" max="2" width="42.28515625" style="3" customWidth="1"/>
    <col min="3" max="5" width="16.7109375" style="3" customWidth="1"/>
    <col min="6" max="10" width="16.7109375" style="1" customWidth="1"/>
    <col min="11" max="11" width="18.5703125" style="1" customWidth="1"/>
    <col min="12" max="14" width="9.140625" style="1" customWidth="1"/>
    <col min="15" max="16384" width="9.140625" style="1"/>
  </cols>
  <sheetData>
    <row r="2" spans="2:15" ht="75.75" customHeight="1" thickBot="1" x14ac:dyDescent="0.3">
      <c r="B2" s="202"/>
      <c r="C2" s="202"/>
      <c r="D2" s="202"/>
      <c r="E2" s="202"/>
      <c r="F2" s="202"/>
      <c r="G2" s="202"/>
      <c r="H2" s="202"/>
      <c r="I2" s="202"/>
      <c r="J2" s="202"/>
      <c r="K2" s="202"/>
    </row>
    <row r="3" spans="2:15" ht="18" customHeight="1" x14ac:dyDescent="0.25">
      <c r="B3" s="39" t="s">
        <v>31</v>
      </c>
      <c r="C3" s="40"/>
      <c r="D3" s="102"/>
      <c r="E3" s="102"/>
      <c r="F3" s="102"/>
      <c r="G3" s="102" t="s">
        <v>25</v>
      </c>
      <c r="H3" s="223">
        <v>7000</v>
      </c>
      <c r="I3" s="202"/>
      <c r="J3" s="202"/>
      <c r="K3" s="202"/>
    </row>
    <row r="4" spans="2:15" ht="18" customHeight="1" x14ac:dyDescent="0.25">
      <c r="B4" s="322" t="str">
        <f>"Αντιστοιχεί σε καθαρό μηνιαίο εισόδημα = ετήσιο / "&amp;FIXED(Συντελεστές!G16,0)</f>
        <v>Αντιστοιχεί σε καθαρό μηνιαίο εισόδημα = ετήσιο / 14</v>
      </c>
      <c r="C4" s="38"/>
      <c r="D4" s="265" t="s">
        <v>25</v>
      </c>
      <c r="E4" s="265"/>
      <c r="F4" s="265"/>
      <c r="G4" s="265"/>
      <c r="H4" s="201">
        <f>H3/Συντελεστές!G16</f>
        <v>500</v>
      </c>
      <c r="I4" s="323" t="str">
        <f>"* "&amp;Συντελεστές!G16&amp;" μισθοί"</f>
        <v>* 14 μισθοί</v>
      </c>
      <c r="J4" s="202"/>
      <c r="K4" s="202"/>
    </row>
    <row r="5" spans="2:15" ht="18" customHeight="1" x14ac:dyDescent="0.25">
      <c r="B5" s="10" t="s">
        <v>34</v>
      </c>
      <c r="C5" s="8"/>
      <c r="D5" s="8"/>
      <c r="E5" s="8"/>
      <c r="F5" s="8"/>
      <c r="G5" s="8"/>
      <c r="H5" s="9"/>
      <c r="I5" s="202"/>
      <c r="J5" s="202"/>
      <c r="K5" s="202"/>
      <c r="M5" s="5">
        <v>3</v>
      </c>
    </row>
    <row r="6" spans="2:15" ht="18" customHeight="1" thickBot="1" x14ac:dyDescent="0.3">
      <c r="B6" s="2"/>
      <c r="C6" s="2"/>
      <c r="D6" s="2"/>
      <c r="E6" s="2"/>
      <c r="F6" s="2"/>
      <c r="G6" s="2"/>
      <c r="H6" s="4"/>
      <c r="I6" s="202"/>
      <c r="J6" s="202"/>
      <c r="K6" s="202"/>
    </row>
    <row r="7" spans="2:15" ht="24.95" customHeight="1" x14ac:dyDescent="0.25">
      <c r="B7" s="296" t="str">
        <f>"ΜΗΝΙΑΙΕΣ ΑΣΦΑΛΙΣΤΙΚΕΣ ΕΙΣΦΟΡΕΣ ΕΛΕΥΘΕΡΟΥ ΕΠΑΓΓΕΛΜΑΤΙΑ ΜΗΧΑΝΙΚΟΥ ΜΕ "&amp;CHOOSE(M5,"≤ 2 έτη","&gt;2 έτη &amp; ≤ 5 έτη","&gt; 5 έτη")&amp;" από την πρώτη υπαγωγή"</f>
        <v>ΜΗΝΙΑΙΕΣ ΑΣΦΑΛΙΣΤΙΚΕΣ ΕΙΣΦΟΡΕΣ ΕΛΕΥΘΕΡΟΥ ΕΠΑΓΓΕΛΜΑΤΙΑ ΜΗΧΑΝΙΚΟΥ ΜΕ &gt; 5 έτη από την πρώτη υπαγωγή</v>
      </c>
      <c r="C7" s="297"/>
      <c r="D7" s="297"/>
      <c r="E7" s="297"/>
      <c r="F7" s="297"/>
      <c r="G7" s="297"/>
      <c r="H7" s="298"/>
      <c r="I7" s="202"/>
      <c r="J7" s="202"/>
      <c r="K7" s="202"/>
    </row>
    <row r="8" spans="2:15" ht="43.5" thickBot="1" x14ac:dyDescent="0.3">
      <c r="B8" s="11" t="s">
        <v>3</v>
      </c>
      <c r="C8" s="12" t="s">
        <v>9</v>
      </c>
      <c r="D8" s="225" t="s">
        <v>43</v>
      </c>
      <c r="E8" s="14" t="str">
        <f>"min (€)"&amp;IF(OR(N9,N10,N11,N12)," - "&amp;TEXT(Συντελεστές!I12,"0%"),"")</f>
        <v>min (€)</v>
      </c>
      <c r="F8" s="159" t="s">
        <v>10</v>
      </c>
      <c r="G8" s="227" t="s">
        <v>44</v>
      </c>
      <c r="H8" s="226" t="s">
        <v>45</v>
      </c>
      <c r="I8" s="202"/>
      <c r="J8" s="202"/>
      <c r="K8" s="202"/>
    </row>
    <row r="9" spans="2:15" ht="18" customHeight="1" thickTop="1" x14ac:dyDescent="0.25">
      <c r="B9" s="103" t="s">
        <v>54</v>
      </c>
      <c r="C9" s="104">
        <f ca="1">OFFSET(Συντελεστές!G4,0,M$5-1)</f>
        <v>0.1333</v>
      </c>
      <c r="D9" s="220">
        <f>IF(M9,E$38,D$38)</f>
        <v>7000</v>
      </c>
      <c r="E9" s="105">
        <f>ROUND(IF(N9,Συντελεστές!$I$12,1)*Συντελεστές!$I$11*Συντελεστές!K14,2)</f>
        <v>130</v>
      </c>
      <c r="F9" s="160">
        <f ca="1">IF(O9,E9,ROUND(10*Συντελεστές!$I$11*$C9,2))</f>
        <v>866.45</v>
      </c>
      <c r="G9" s="228">
        <f ca="1">F38</f>
        <v>130</v>
      </c>
      <c r="H9" s="234">
        <f ca="1">(Συντελεστές!I4/C9-1)*G9</f>
        <v>0</v>
      </c>
      <c r="I9" s="202"/>
      <c r="J9" s="202"/>
      <c r="K9" s="202"/>
      <c r="M9" s="5" t="b">
        <v>1</v>
      </c>
      <c r="N9" s="5" t="b">
        <v>0</v>
      </c>
      <c r="O9" s="224" t="b">
        <v>0</v>
      </c>
    </row>
    <row r="10" spans="2:15" ht="18" customHeight="1" x14ac:dyDescent="0.25">
      <c r="B10" s="264" t="s">
        <v>53</v>
      </c>
      <c r="C10" s="106">
        <f ca="1">OFFSET(Συντελεστές!G5,0,M$5-1)</f>
        <v>7.0000000000000007E-2</v>
      </c>
      <c r="D10" s="221">
        <f>IF(M10,E$38,D$38)</f>
        <v>7000</v>
      </c>
      <c r="E10" s="107">
        <f ca="1">ROUND(IF(N10,Συντελεστές!$I$12,1)*Συντελεστές!$I$11*$C10,2)</f>
        <v>45.5</v>
      </c>
      <c r="F10" s="161">
        <f ca="1">IF(O10,E10,ROUND(10*Συντελεστές!$I$11*$C10,2))</f>
        <v>45.5</v>
      </c>
      <c r="G10" s="229">
        <f ca="1">G38</f>
        <v>45.5</v>
      </c>
      <c r="H10" s="235">
        <f ca="1">(Συντελεστές!I5/C10-1)*G10</f>
        <v>0</v>
      </c>
      <c r="I10" s="202"/>
      <c r="J10" s="202"/>
      <c r="K10" s="202"/>
      <c r="M10" s="224" t="b">
        <f t="shared" ref="M10:M12" si="0">M9</f>
        <v>1</v>
      </c>
      <c r="N10" s="5" t="b">
        <v>0</v>
      </c>
      <c r="O10" s="5" t="b">
        <v>1</v>
      </c>
    </row>
    <row r="11" spans="2:15" ht="18" customHeight="1" x14ac:dyDescent="0.25">
      <c r="B11" s="264" t="s">
        <v>52</v>
      </c>
      <c r="C11" s="106">
        <f ca="1">OFFSET(Συντελεστές!G6,0,M$5-1)</f>
        <v>0.04</v>
      </c>
      <c r="D11" s="221">
        <f>IF(M11,E$38,D$38)</f>
        <v>7000</v>
      </c>
      <c r="E11" s="107">
        <f ca="1">ROUND(IF(N11,Συντελεστές!$I$12,1)*Συντελεστές!$I$11*$C11,2)</f>
        <v>26</v>
      </c>
      <c r="F11" s="161">
        <f ca="1">IF(O11,E11,ROUND(10*Συντελεστές!$I$11*$C11,2))</f>
        <v>26</v>
      </c>
      <c r="G11" s="229">
        <f ca="1">H38</f>
        <v>26</v>
      </c>
      <c r="H11" s="235">
        <f ca="1">(Συντελεστές!I6/C11-1)*G11</f>
        <v>0</v>
      </c>
      <c r="I11" s="202"/>
      <c r="J11" s="202"/>
      <c r="K11" s="202"/>
      <c r="M11" s="224" t="b">
        <f t="shared" si="0"/>
        <v>1</v>
      </c>
      <c r="N11" s="5" t="b">
        <v>0</v>
      </c>
      <c r="O11" s="5" t="b">
        <v>1</v>
      </c>
    </row>
    <row r="12" spans="2:15" ht="18" customHeight="1" x14ac:dyDescent="0.25">
      <c r="B12" s="263" t="s">
        <v>51</v>
      </c>
      <c r="C12" s="108">
        <f ca="1">OFFSET(Συντελεστές!G7,0,M$5-1)</f>
        <v>6.9500000000000006E-2</v>
      </c>
      <c r="D12" s="222">
        <f>IF(M12,E$38,D$38)</f>
        <v>7000</v>
      </c>
      <c r="E12" s="109">
        <f ca="1">ROUND(IF(N12,Συντελεστές!$I$12,1)*Συντελεστές!$I$11*$C12,2)</f>
        <v>45.18</v>
      </c>
      <c r="F12" s="162">
        <f ca="1">IF(O12,E12,ROUND(10*Συντελεστές!$I$11*$C12,2))</f>
        <v>451.75</v>
      </c>
      <c r="G12" s="230">
        <f ca="1">I38</f>
        <v>45.18</v>
      </c>
      <c r="H12" s="236">
        <f ca="1">(Συντελεστές!I7/C12-1)*G12</f>
        <v>0</v>
      </c>
      <c r="I12" s="202"/>
      <c r="J12" s="202"/>
      <c r="K12" s="202"/>
      <c r="M12" s="224" t="b">
        <f t="shared" si="0"/>
        <v>1</v>
      </c>
      <c r="N12" s="5" t="b">
        <v>0</v>
      </c>
      <c r="O12" s="5" t="b">
        <v>0</v>
      </c>
    </row>
    <row r="13" spans="2:15" ht="18" customHeight="1" x14ac:dyDescent="0.25">
      <c r="B13" s="164" t="s">
        <v>39</v>
      </c>
      <c r="C13" s="165">
        <f ca="1">SUM(C9:C12)</f>
        <v>0.31280000000000002</v>
      </c>
      <c r="D13" s="166"/>
      <c r="E13" s="167">
        <f ca="1">SUM(E9:E12)</f>
        <v>246.68</v>
      </c>
      <c r="F13" s="168">
        <f ca="1">SUM(F9:F12)</f>
        <v>1389.7</v>
      </c>
      <c r="G13" s="231">
        <f ca="1">SUM(G9:G12)</f>
        <v>246.68</v>
      </c>
      <c r="H13" s="237">
        <f ca="1">SUM(H9:H12)</f>
        <v>0</v>
      </c>
      <c r="I13" s="202"/>
      <c r="J13" s="202"/>
      <c r="K13" s="202"/>
    </row>
    <row r="14" spans="2:15" ht="18" customHeight="1" thickBot="1" x14ac:dyDescent="0.3">
      <c r="B14" s="13" t="s">
        <v>32</v>
      </c>
      <c r="C14" s="143">
        <f ca="1">OFFSET(Συντελεστές!G9,0,M$5-1)</f>
        <v>10</v>
      </c>
      <c r="D14" s="37"/>
      <c r="E14" s="19">
        <f ca="1">C14</f>
        <v>10</v>
      </c>
      <c r="F14" s="163">
        <f ca="1">C14</f>
        <v>10</v>
      </c>
      <c r="G14" s="232">
        <f ca="1">J34</f>
        <v>10</v>
      </c>
      <c r="H14" s="238">
        <v>0</v>
      </c>
      <c r="I14" s="202"/>
      <c r="J14" s="202"/>
      <c r="K14" s="202"/>
    </row>
    <row r="15" spans="2:15" ht="25.5" customHeight="1" thickTop="1" thickBot="1" x14ac:dyDescent="0.3">
      <c r="B15" s="169" t="s">
        <v>46</v>
      </c>
      <c r="C15" s="170"/>
      <c r="D15" s="170"/>
      <c r="E15" s="171">
        <f ca="1">SUM(E13:E14)</f>
        <v>256.68</v>
      </c>
      <c r="F15" s="172">
        <f ca="1">SUM(F13:F14)</f>
        <v>1399.7</v>
      </c>
      <c r="G15" s="233">
        <f ca="1">SUM(G13:G14)</f>
        <v>256.68</v>
      </c>
      <c r="H15" s="239">
        <f ca="1">SUM(H13:H14)</f>
        <v>0</v>
      </c>
      <c r="I15" s="202"/>
      <c r="J15" s="202"/>
      <c r="K15" s="202"/>
    </row>
    <row r="16" spans="2:15" ht="24.75" customHeight="1" thickBot="1" x14ac:dyDescent="0.3">
      <c r="B16" s="252" t="s">
        <v>47</v>
      </c>
      <c r="C16" s="253"/>
      <c r="D16" s="253"/>
      <c r="E16" s="253"/>
      <c r="F16" s="254"/>
      <c r="G16" s="251">
        <f ca="1">G15*12</f>
        <v>3080.16</v>
      </c>
      <c r="H16" s="262">
        <f ca="1">ROUND(H15*12,2)</f>
        <v>0</v>
      </c>
      <c r="I16" s="202"/>
      <c r="J16" s="202"/>
      <c r="K16" s="202"/>
    </row>
    <row r="17" spans="2:11" ht="24.95" customHeight="1" thickTop="1" thickBot="1" x14ac:dyDescent="0.3">
      <c r="B17" s="257" t="str">
        <f>IF(M5=3,"","Σύνολο (πληρωτέων σήμερα και οφειλόμενων) ΕΤΗΣΙΩΝ εισφορών ΕΛΕΥΘΕΡΟΥ ΕΠΑΓΓΕΛΜΑΤΙΑ ΜΗΧΑΝΙΚΟΥ κάτω 5ετίας")</f>
        <v/>
      </c>
      <c r="C17" s="255"/>
      <c r="D17" s="255"/>
      <c r="E17" s="255"/>
      <c r="F17" s="256"/>
      <c r="G17" s="282">
        <f>IF(M5=3,0,SUM(G16:H16))</f>
        <v>0</v>
      </c>
      <c r="H17" s="283"/>
      <c r="I17" s="202"/>
      <c r="J17" s="202"/>
      <c r="K17" s="202"/>
    </row>
    <row r="18" spans="2:11" ht="18" customHeight="1" thickBot="1" x14ac:dyDescent="0.3">
      <c r="B18" s="2"/>
      <c r="C18" s="2"/>
      <c r="D18" s="2"/>
      <c r="E18" s="2"/>
      <c r="F18" s="2"/>
      <c r="G18" s="2"/>
      <c r="H18" s="4"/>
      <c r="I18" s="202"/>
      <c r="J18" s="202"/>
      <c r="K18" s="202"/>
    </row>
    <row r="19" spans="2:11" ht="24.95" customHeight="1" x14ac:dyDescent="0.25">
      <c r="B19" s="289" t="s">
        <v>35</v>
      </c>
      <c r="C19" s="290"/>
      <c r="D19" s="290"/>
      <c r="E19" s="290"/>
      <c r="F19" s="290"/>
      <c r="G19" s="290"/>
      <c r="H19" s="290"/>
      <c r="I19" s="290"/>
      <c r="J19" s="290"/>
      <c r="K19" s="291"/>
    </row>
    <row r="20" spans="2:11" ht="18" customHeight="1" x14ac:dyDescent="0.25">
      <c r="B20" s="284" t="s">
        <v>3</v>
      </c>
      <c r="C20" s="279" t="s">
        <v>41</v>
      </c>
      <c r="D20" s="280"/>
      <c r="E20" s="281"/>
      <c r="F20" s="279" t="s">
        <v>40</v>
      </c>
      <c r="G20" s="280"/>
      <c r="H20" s="279" t="s">
        <v>10</v>
      </c>
      <c r="I20" s="286"/>
      <c r="J20" s="287" t="s">
        <v>24</v>
      </c>
      <c r="K20" s="288"/>
    </row>
    <row r="21" spans="2:11" ht="18" customHeight="1" thickBot="1" x14ac:dyDescent="0.3">
      <c r="B21" s="285"/>
      <c r="C21" s="130" t="s">
        <v>36</v>
      </c>
      <c r="D21" s="181" t="s">
        <v>37</v>
      </c>
      <c r="E21" s="142" t="s">
        <v>38</v>
      </c>
      <c r="F21" s="130" t="s">
        <v>36</v>
      </c>
      <c r="G21" s="187" t="s">
        <v>37</v>
      </c>
      <c r="H21" s="130" t="s">
        <v>36</v>
      </c>
      <c r="I21" s="194" t="s">
        <v>37</v>
      </c>
      <c r="J21" s="145" t="s">
        <v>36</v>
      </c>
      <c r="K21" s="152" t="s">
        <v>27</v>
      </c>
    </row>
    <row r="22" spans="2:11" ht="18" customHeight="1" thickTop="1" x14ac:dyDescent="0.25">
      <c r="B22" s="131" t="s">
        <v>55</v>
      </c>
      <c r="C22" s="132">
        <f ca="1">OFFSET(Συντελεστές!J4,0,M$5*2-2)</f>
        <v>6.6699999999999995E-2</v>
      </c>
      <c r="D22" s="182">
        <f ca="1">OFFSET(Συντελεστές!K4,0,Υπολογισμοί!M$5*2-2)</f>
        <v>0.1333</v>
      </c>
      <c r="E22" s="177">
        <f ca="1">SUM(C22:D22)</f>
        <v>0.2</v>
      </c>
      <c r="F22" s="133">
        <f ca="1">ROUND(Συντελεστές!$I$11*$C22,2)</f>
        <v>43.36</v>
      </c>
      <c r="G22" s="188">
        <f ca="1">ROUND(Συντελεστές!$I$11*$D22,2)</f>
        <v>86.65</v>
      </c>
      <c r="H22" s="133">
        <f ca="1">ROUND(10*Συντελεστές!$I$11*$C22,2)</f>
        <v>433.55</v>
      </c>
      <c r="I22" s="195">
        <f ca="1">ROUND(10*Συντελεστές!$I$11*$D22,2)</f>
        <v>866.45</v>
      </c>
      <c r="J22" s="146">
        <f ca="1">ROUND(MAX(MIN($H$4*C22,H22),F22),2)</f>
        <v>43.36</v>
      </c>
      <c r="K22" s="153">
        <f ca="1">ROUND(MAX(MIN($H$4*D22,I22),G22),2)</f>
        <v>86.65</v>
      </c>
    </row>
    <row r="23" spans="2:11" ht="18" customHeight="1" x14ac:dyDescent="0.25">
      <c r="B23" s="134" t="s">
        <v>21</v>
      </c>
      <c r="C23" s="135">
        <f ca="1">OFFSET(Συντελεστές!J5,0,M$5*2-2)</f>
        <v>3.5000000000000003E-2</v>
      </c>
      <c r="D23" s="183">
        <f ca="1">OFFSET(Συντελεστές!K5,0,Υπολογισμοί!M$5*2-2)</f>
        <v>3.5000000000000003E-2</v>
      </c>
      <c r="E23" s="178">
        <f ca="1">SUM(C23:D23)</f>
        <v>7.0000000000000007E-2</v>
      </c>
      <c r="F23" s="136">
        <f ca="1">ROUND(Συντελεστές!$I$11*$C23,2)</f>
        <v>22.75</v>
      </c>
      <c r="G23" s="189">
        <f ca="1">ROUND(Συντελεστές!$I$11*$D23,2)</f>
        <v>22.75</v>
      </c>
      <c r="H23" s="136">
        <f ca="1">ROUND(10*Συντελεστές!$I$11*$C23,2)</f>
        <v>227.5</v>
      </c>
      <c r="I23" s="196">
        <f ca="1">ROUND(10*Συντελεστές!$I$11*$D23,2)</f>
        <v>227.5</v>
      </c>
      <c r="J23" s="147">
        <f t="shared" ref="J23:K25" ca="1" si="1">ROUND(MAX(MIN($H$4*C23,H23),F23),2)</f>
        <v>22.75</v>
      </c>
      <c r="K23" s="154">
        <f t="shared" ca="1" si="1"/>
        <v>22.75</v>
      </c>
    </row>
    <row r="24" spans="2:11" ht="18" customHeight="1" x14ac:dyDescent="0.25">
      <c r="B24" s="134" t="s">
        <v>22</v>
      </c>
      <c r="C24" s="135">
        <f ca="1">OFFSET(Συντελεστές!J6,0,M$5*2-2)</f>
        <v>0.04</v>
      </c>
      <c r="D24" s="183">
        <f ca="1">OFFSET(Συντελεστές!K6,0,Υπολογισμοί!M$5*2-2)</f>
        <v>0</v>
      </c>
      <c r="E24" s="178">
        <f ca="1">SUM(C24:D24)</f>
        <v>0.04</v>
      </c>
      <c r="F24" s="136">
        <f ca="1">ROUND(Συντελεστές!$I$11*$C24,2)</f>
        <v>26</v>
      </c>
      <c r="G24" s="189">
        <f ca="1">ROUND(Συντελεστές!$I$11*$D24,2)</f>
        <v>0</v>
      </c>
      <c r="H24" s="136">
        <f ca="1">ROUND(10*Συντελεστές!$I$11*$C24,2)</f>
        <v>260</v>
      </c>
      <c r="I24" s="196">
        <f ca="1">ROUND(10*Συντελεστές!$I$11*$D24,2)</f>
        <v>0</v>
      </c>
      <c r="J24" s="147">
        <f t="shared" ca="1" si="1"/>
        <v>26</v>
      </c>
      <c r="K24" s="154">
        <f t="shared" ca="1" si="1"/>
        <v>0</v>
      </c>
    </row>
    <row r="25" spans="2:11" ht="18" customHeight="1" x14ac:dyDescent="0.25">
      <c r="B25" s="137" t="s">
        <v>23</v>
      </c>
      <c r="C25" s="138">
        <f ca="1">OFFSET(Συντελεστές!J7,0,M$5*2-2)</f>
        <v>2.5499999999999998E-2</v>
      </c>
      <c r="D25" s="184">
        <f ca="1">OFFSET(Συντελεστές!K7,0,Υπολογισμοί!M$5*2-2)</f>
        <v>4.5499999999999999E-2</v>
      </c>
      <c r="E25" s="179">
        <f ca="1">SUM(C25:D25)</f>
        <v>7.0999999999999994E-2</v>
      </c>
      <c r="F25" s="139">
        <f ca="1">ROUND(Συντελεστές!$I$11*$C25,2)</f>
        <v>16.579999999999998</v>
      </c>
      <c r="G25" s="190">
        <f ca="1">ROUND(Συντελεστές!$I$11*$D25,2)</f>
        <v>29.58</v>
      </c>
      <c r="H25" s="139">
        <f ca="1">ROUND(10*Συντελεστές!$I$11*$C25,2)</f>
        <v>165.75</v>
      </c>
      <c r="I25" s="197">
        <f ca="1">ROUND(10*Συντελεστές!$I$11*$D25,2)</f>
        <v>295.75</v>
      </c>
      <c r="J25" s="148">
        <f t="shared" ca="1" si="1"/>
        <v>16.579999999999998</v>
      </c>
      <c r="K25" s="155">
        <f t="shared" ca="1" si="1"/>
        <v>29.58</v>
      </c>
    </row>
    <row r="26" spans="2:11" ht="18" customHeight="1" x14ac:dyDescent="0.25">
      <c r="B26" s="173" t="s">
        <v>39</v>
      </c>
      <c r="C26" s="174">
        <f t="shared" ref="C26:K26" ca="1" si="2">SUM(C22:C25)</f>
        <v>0.16719999999999999</v>
      </c>
      <c r="D26" s="185">
        <f t="shared" ca="1" si="2"/>
        <v>0.21379999999999999</v>
      </c>
      <c r="E26" s="175">
        <f t="shared" ca="1" si="2"/>
        <v>0.38100000000000001</v>
      </c>
      <c r="F26" s="176">
        <f t="shared" ca="1" si="2"/>
        <v>108.69</v>
      </c>
      <c r="G26" s="191">
        <f t="shared" ca="1" si="2"/>
        <v>138.98000000000002</v>
      </c>
      <c r="H26" s="176">
        <f t="shared" ca="1" si="2"/>
        <v>1086.8</v>
      </c>
      <c r="I26" s="198">
        <f t="shared" ca="1" si="2"/>
        <v>1389.7</v>
      </c>
      <c r="J26" s="149">
        <f t="shared" ca="1" si="2"/>
        <v>108.69</v>
      </c>
      <c r="K26" s="156">
        <f t="shared" ca="1" si="2"/>
        <v>138.98000000000002</v>
      </c>
    </row>
    <row r="27" spans="2:11" ht="18" customHeight="1" thickBot="1" x14ac:dyDescent="0.3">
      <c r="B27" s="140" t="s">
        <v>32</v>
      </c>
      <c r="C27" s="144">
        <f ca="1">OFFSET(Συντελεστές!J9,0,M$5*2-2)</f>
        <v>10</v>
      </c>
      <c r="D27" s="186">
        <f ca="1">OFFSET(Συντελεστές!K9,0,M$5*2-2)</f>
        <v>0</v>
      </c>
      <c r="E27" s="180">
        <f ca="1">SUM(C27:D27)</f>
        <v>10</v>
      </c>
      <c r="F27" s="141">
        <f ca="1">C27</f>
        <v>10</v>
      </c>
      <c r="G27" s="192">
        <f ca="1">D27</f>
        <v>0</v>
      </c>
      <c r="H27" s="141">
        <f ca="1">C27</f>
        <v>10</v>
      </c>
      <c r="I27" s="199">
        <f ca="1">D27</f>
        <v>0</v>
      </c>
      <c r="J27" s="150">
        <f ca="1">MAX(MIN(C27,H27),F27)</f>
        <v>10</v>
      </c>
      <c r="K27" s="157">
        <f ca="1">MAX(MIN(D27,I27),G27)</f>
        <v>0</v>
      </c>
    </row>
    <row r="28" spans="2:11" ht="24.95" customHeight="1" thickTop="1" thickBot="1" x14ac:dyDescent="0.3">
      <c r="B28" s="126" t="s">
        <v>42</v>
      </c>
      <c r="C28" s="127"/>
      <c r="D28" s="127"/>
      <c r="E28" s="127"/>
      <c r="F28" s="128">
        <f t="shared" ref="F28:K28" ca="1" si="3">SUM(F26:F27)</f>
        <v>118.69</v>
      </c>
      <c r="G28" s="193">
        <f t="shared" ca="1" si="3"/>
        <v>138.98000000000002</v>
      </c>
      <c r="H28" s="128">
        <f t="shared" ca="1" si="3"/>
        <v>1096.8</v>
      </c>
      <c r="I28" s="200">
        <f t="shared" ca="1" si="3"/>
        <v>1389.7</v>
      </c>
      <c r="J28" s="151">
        <f t="shared" ca="1" si="3"/>
        <v>118.69</v>
      </c>
      <c r="K28" s="158">
        <f t="shared" ca="1" si="3"/>
        <v>138.98000000000002</v>
      </c>
    </row>
    <row r="29" spans="2:11" ht="24.95" customHeight="1" thickBot="1" x14ac:dyDescent="0.3">
      <c r="B29" s="324" t="str">
        <f>"ΣΥΝΟΛΟ ΕΤΗΣΙΩΝ ΕΙΣΦΟΡΩΝ ΜΙΣΘΩΤΟΥ ΜΗΧΑΝΙΚΟΥ ("&amp;FIXED(Συντελεστές!G16,0)&amp;" μισθοί)"</f>
        <v>ΣΥΝΟΛΟ ΕΤΗΣΙΩΝ ΕΙΣΦΟΡΩΝ ΜΙΣΘΩΤΟΥ ΜΗΧΑΝΙΚΟΥ (14 μισθοί)</v>
      </c>
      <c r="C29" s="127"/>
      <c r="D29" s="320"/>
      <c r="E29" s="320"/>
      <c r="F29" s="129"/>
      <c r="G29" s="129"/>
      <c r="H29" s="129"/>
      <c r="I29" s="129"/>
      <c r="J29" s="151">
        <f ca="1">J28*Συντελεστές!G16</f>
        <v>1661.6599999999999</v>
      </c>
      <c r="K29" s="158">
        <f ca="1">K28*Συντελεστές!G16</f>
        <v>1945.7200000000003</v>
      </c>
    </row>
    <row r="30" spans="2:11" ht="18" customHeight="1" thickBot="1" x14ac:dyDescent="0.3"/>
    <row r="31" spans="2:11" ht="24.95" customHeight="1" thickBot="1" x14ac:dyDescent="0.3">
      <c r="B31" s="276" t="str">
        <f>"ΑΝΑΛΥΤΙΚΟΣ ΥΠΟΛΟΓΙΣΜΟΣ ΜΗΝΙΑΙΩΝ ΑΣΦΑΛΙΣΤΙΚΩΝ ΕΙΣΦΟΡΩΝ ΜΗΧΑΝΙΚΟΥ ΕΛΕΥΘΕΡΟΥ ΕΠΑΓΓΕΛΜΑΤΙΑ "&amp;CHOOSE(M5,"≤ 2 έτη","&gt;2 έτη &amp; ≤ 5 έτη","&gt; 5 έτη")&amp;" από την πρώτη υπαγωγή"</f>
        <v>ΑΝΑΛΥΤΙΚΟΣ ΥΠΟΛΟΓΙΣΜΟΣ ΜΗΝΙΑΙΩΝ ΑΣΦΑΛΙΣΤΙΚΩΝ ΕΙΣΦΟΡΩΝ ΜΗΧΑΝΙΚΟΥ ΕΛΕΥΘΕΡΟΥ ΕΠΑΓΓΕΛΜΑΤΙΑ &gt; 5 έτη από την πρώτη υπαγωγή</v>
      </c>
      <c r="C31" s="277"/>
      <c r="D31" s="277"/>
      <c r="E31" s="277"/>
      <c r="F31" s="277"/>
      <c r="G31" s="277"/>
      <c r="H31" s="277"/>
      <c r="I31" s="277"/>
      <c r="J31" s="277"/>
      <c r="K31" s="278"/>
    </row>
    <row r="32" spans="2:11" ht="60.75" customHeight="1" x14ac:dyDescent="0.25">
      <c r="B32" s="302" t="s">
        <v>16</v>
      </c>
      <c r="C32" s="299" t="s">
        <v>18</v>
      </c>
      <c r="D32" s="270" t="s">
        <v>33</v>
      </c>
      <c r="E32" s="273" t="s">
        <v>15</v>
      </c>
      <c r="F32" s="120" t="s">
        <v>11</v>
      </c>
      <c r="G32" s="20" t="s">
        <v>12</v>
      </c>
      <c r="H32" s="20" t="s">
        <v>13</v>
      </c>
      <c r="I32" s="25" t="s">
        <v>14</v>
      </c>
      <c r="J32" s="26" t="s">
        <v>17</v>
      </c>
      <c r="K32" s="110" t="str">
        <f>"Μηνιαίες Εισφορές Μηχανικού με "&amp;CHOOSE(M5,"≤ 2 έτη","&gt;2 έτη &amp; ≤ 5 έτη","&gt; 5 έτη")&amp;" από την πρώτη υπαγωγή"</f>
        <v>Μηνιαίες Εισφορές Μηχανικού με &gt; 5 έτη από την πρώτη υπαγωγή</v>
      </c>
    </row>
    <row r="33" spans="2:11" ht="18" customHeight="1" x14ac:dyDescent="0.25">
      <c r="B33" s="303"/>
      <c r="C33" s="300"/>
      <c r="D33" s="271"/>
      <c r="E33" s="274"/>
      <c r="F33" s="121">
        <f ca="1">OFFSET(Συντελεστές!G4,0,M$5-1)</f>
        <v>0.1333</v>
      </c>
      <c r="G33" s="21">
        <f ca="1">OFFSET(Συντελεστές!G5,0,M$5-1)</f>
        <v>7.0000000000000007E-2</v>
      </c>
      <c r="H33" s="21">
        <f ca="1">OFFSET(Συντελεστές!G6,0,M$5-1)</f>
        <v>0.04</v>
      </c>
      <c r="I33" s="22">
        <f ca="1">OFFSET(Συντελεστές!G7,0,M$5-1)</f>
        <v>6.9500000000000006E-2</v>
      </c>
      <c r="J33" s="27"/>
      <c r="K33" s="24">
        <f ca="1">SUM(F33:I33)</f>
        <v>0.31280000000000002</v>
      </c>
    </row>
    <row r="34" spans="2:11" ht="18" customHeight="1" thickBot="1" x14ac:dyDescent="0.3">
      <c r="B34" s="303"/>
      <c r="C34" s="300"/>
      <c r="D34" s="271"/>
      <c r="E34" s="274"/>
      <c r="F34" s="122">
        <f ca="1">ROUND(SUM(F39:F86),2)</f>
        <v>77.760000000000005</v>
      </c>
      <c r="G34" s="43">
        <f ca="1">ROUND(SUM(G39:G86),2)</f>
        <v>40.83</v>
      </c>
      <c r="H34" s="43">
        <f ca="1">ROUND(SUM(H39:H86),2)</f>
        <v>23.33</v>
      </c>
      <c r="I34" s="44">
        <f ca="1">ROUND(SUM(I39:I86),2)</f>
        <v>40.54</v>
      </c>
      <c r="J34" s="31">
        <f ca="1">OFFSET(Συντελεστές!G9,0,M5-1)</f>
        <v>10</v>
      </c>
      <c r="K34" s="36">
        <f ca="1">SUM(F38:I38,J34)</f>
        <v>256.68</v>
      </c>
    </row>
    <row r="35" spans="2:11" ht="18" customHeight="1" thickTop="1" x14ac:dyDescent="0.25">
      <c r="B35" s="303"/>
      <c r="C35" s="300"/>
      <c r="D35" s="271"/>
      <c r="E35" s="274"/>
      <c r="F35" s="123" t="str">
        <f>IF(M9,"Μειωμένο","")</f>
        <v>Μειωμένο</v>
      </c>
      <c r="G35" s="41" t="str">
        <f>IF(M10,"Μειωμένο","")</f>
        <v>Μειωμένο</v>
      </c>
      <c r="H35" s="41" t="str">
        <f>IF(M11,"Μειωμένο","")</f>
        <v>Μειωμένο</v>
      </c>
      <c r="I35" s="42" t="str">
        <f>IF(M12,"Μειωμένο","")</f>
        <v>Μειωμένο</v>
      </c>
      <c r="J35" s="268" t="s">
        <v>19</v>
      </c>
      <c r="K35" s="269"/>
    </row>
    <row r="36" spans="2:11" ht="18" customHeight="1" x14ac:dyDescent="0.25">
      <c r="B36" s="303"/>
      <c r="C36" s="300"/>
      <c r="D36" s="271"/>
      <c r="E36" s="274"/>
      <c r="F36" s="124">
        <f>E9</f>
        <v>130</v>
      </c>
      <c r="G36" s="32">
        <f ca="1">E10</f>
        <v>45.5</v>
      </c>
      <c r="H36" s="32">
        <f ca="1">E11</f>
        <v>26</v>
      </c>
      <c r="I36" s="33">
        <f ca="1">E12</f>
        <v>45.18</v>
      </c>
      <c r="J36" s="266" t="str">
        <f>": min (€)"&amp;IF(OR(N9,N10,N11,N12)," - "&amp;TEXT(Συντελεστές!I12,"0%"),"")</f>
        <v>: min (€)</v>
      </c>
      <c r="K36" s="267"/>
    </row>
    <row r="37" spans="2:11" ht="18" customHeight="1" thickBot="1" x14ac:dyDescent="0.3">
      <c r="B37" s="304"/>
      <c r="C37" s="301"/>
      <c r="D37" s="272"/>
      <c r="E37" s="275"/>
      <c r="F37" s="125">
        <f ca="1">F9</f>
        <v>866.45</v>
      </c>
      <c r="G37" s="34">
        <f ca="1">F10</f>
        <v>45.5</v>
      </c>
      <c r="H37" s="34">
        <f ca="1">F11</f>
        <v>26</v>
      </c>
      <c r="I37" s="35">
        <f ca="1">F12</f>
        <v>451.75</v>
      </c>
      <c r="J37" s="294" t="s">
        <v>48</v>
      </c>
      <c r="K37" s="295"/>
    </row>
    <row r="38" spans="2:11" ht="18" customHeight="1" thickTop="1" thickBot="1" x14ac:dyDescent="0.3">
      <c r="B38" s="116"/>
      <c r="C38" s="112"/>
      <c r="D38" s="111">
        <f>H3</f>
        <v>7000</v>
      </c>
      <c r="E38" s="30">
        <f>SUM(E39:E86)</f>
        <v>7000</v>
      </c>
      <c r="F38" s="23">
        <f ca="1">MAX(F36,MIN(F34,F37))</f>
        <v>130</v>
      </c>
      <c r="G38" s="28">
        <f ca="1">MAX(G36,MIN(G34,G37))</f>
        <v>45.5</v>
      </c>
      <c r="H38" s="28">
        <f ca="1">MAX(H36,MIN(H34,H37))</f>
        <v>26</v>
      </c>
      <c r="I38" s="29">
        <f ca="1">MAX(I36,MIN(I34,I37))</f>
        <v>45.18</v>
      </c>
      <c r="J38" s="292" t="s">
        <v>20</v>
      </c>
      <c r="K38" s="293"/>
    </row>
    <row r="39" spans="2:11" ht="18" customHeight="1" thickTop="1" x14ac:dyDescent="0.25">
      <c r="B39" s="117">
        <f>IF(M$5&lt;3,Συντελεστές!B4,Συντελεστές!C4)</f>
        <v>7033</v>
      </c>
      <c r="C39" s="113">
        <f>Συντελεστές!D4</f>
        <v>0</v>
      </c>
      <c r="D39" s="45">
        <f>MIN(D$38,B39)</f>
        <v>7000</v>
      </c>
      <c r="E39" s="46">
        <f>D39*(1-C39)</f>
        <v>7000</v>
      </c>
      <c r="F39" s="47">
        <f t="shared" ref="F39:F86" ca="1" si="4">F$33*IF(M$9,$E39,$D39)/12</f>
        <v>77.75833333333334</v>
      </c>
      <c r="G39" s="48">
        <f t="shared" ref="G39:G86" ca="1" si="5">G$33*IF(M$10,$E39,$D39)/12</f>
        <v>40.833333333333336</v>
      </c>
      <c r="H39" s="48">
        <f t="shared" ref="H39:H86" ca="1" si="6">H$33*IF(M$11,$E39,$D39)/12</f>
        <v>23.333333333333332</v>
      </c>
      <c r="I39" s="49">
        <f t="shared" ref="I39:I86" ca="1" si="7">I$33*IF(M$12,$E39,$D39)/12</f>
        <v>40.541666666666671</v>
      </c>
    </row>
    <row r="40" spans="2:11" ht="18" customHeight="1" x14ac:dyDescent="0.25">
      <c r="B40" s="118">
        <f>IF(M$5&lt;3,Συντελεστές!B5,Συντελεστές!C5)</f>
        <v>13000</v>
      </c>
      <c r="C40" s="114">
        <f>Συντελεστές!D5</f>
        <v>0.5</v>
      </c>
      <c r="D40" s="50">
        <f t="shared" ref="D40:D85" si="8">MAX(MIN(D$38-B39,B40-B39),0)</f>
        <v>0</v>
      </c>
      <c r="E40" s="51">
        <f t="shared" ref="E40:E86" si="9">D40*(1-C40)</f>
        <v>0</v>
      </c>
      <c r="F40" s="52">
        <f t="shared" ca="1" si="4"/>
        <v>0</v>
      </c>
      <c r="G40" s="53">
        <f t="shared" ca="1" si="5"/>
        <v>0</v>
      </c>
      <c r="H40" s="53">
        <f t="shared" ca="1" si="6"/>
        <v>0</v>
      </c>
      <c r="I40" s="54">
        <f t="shared" ca="1" si="7"/>
        <v>0</v>
      </c>
    </row>
    <row r="41" spans="2:11" ht="18" customHeight="1" x14ac:dyDescent="0.25">
      <c r="B41" s="118">
        <f>IF(M$5&lt;3,Συντελεστές!B6,Συντελεστές!C6)</f>
        <v>14000</v>
      </c>
      <c r="C41" s="114">
        <f>Συντελεστές!D6</f>
        <v>0.49</v>
      </c>
      <c r="D41" s="50">
        <f t="shared" si="8"/>
        <v>0</v>
      </c>
      <c r="E41" s="51">
        <f t="shared" si="9"/>
        <v>0</v>
      </c>
      <c r="F41" s="52">
        <f t="shared" ca="1" si="4"/>
        <v>0</v>
      </c>
      <c r="G41" s="53">
        <f t="shared" ca="1" si="5"/>
        <v>0</v>
      </c>
      <c r="H41" s="53">
        <f t="shared" ca="1" si="6"/>
        <v>0</v>
      </c>
      <c r="I41" s="54">
        <f t="shared" ca="1" si="7"/>
        <v>0</v>
      </c>
    </row>
    <row r="42" spans="2:11" ht="18" customHeight="1" x14ac:dyDescent="0.25">
      <c r="B42" s="118">
        <f>IF(M$5&lt;3,Συντελεστές!B7,Συντελεστές!C7)</f>
        <v>15000</v>
      </c>
      <c r="C42" s="114">
        <f>Συντελεστές!D7</f>
        <v>0.48</v>
      </c>
      <c r="D42" s="50">
        <f t="shared" si="8"/>
        <v>0</v>
      </c>
      <c r="E42" s="51">
        <f t="shared" si="9"/>
        <v>0</v>
      </c>
      <c r="F42" s="52">
        <f t="shared" ca="1" si="4"/>
        <v>0</v>
      </c>
      <c r="G42" s="53">
        <f t="shared" ca="1" si="5"/>
        <v>0</v>
      </c>
      <c r="H42" s="53">
        <f t="shared" ca="1" si="6"/>
        <v>0</v>
      </c>
      <c r="I42" s="54">
        <f t="shared" ca="1" si="7"/>
        <v>0</v>
      </c>
    </row>
    <row r="43" spans="2:11" ht="18" customHeight="1" x14ac:dyDescent="0.25">
      <c r="B43" s="118">
        <f>IF(M$5&lt;3,Συντελεστές!B8,Συντελεστές!C8)</f>
        <v>16000</v>
      </c>
      <c r="C43" s="114">
        <f>Συντελεστές!D8</f>
        <v>0.47</v>
      </c>
      <c r="D43" s="50">
        <f t="shared" si="8"/>
        <v>0</v>
      </c>
      <c r="E43" s="51">
        <f t="shared" si="9"/>
        <v>0</v>
      </c>
      <c r="F43" s="52">
        <f t="shared" ca="1" si="4"/>
        <v>0</v>
      </c>
      <c r="G43" s="53">
        <f t="shared" ca="1" si="5"/>
        <v>0</v>
      </c>
      <c r="H43" s="53">
        <f t="shared" ca="1" si="6"/>
        <v>0</v>
      </c>
      <c r="I43" s="54">
        <f t="shared" ca="1" si="7"/>
        <v>0</v>
      </c>
      <c r="K43" s="258"/>
    </row>
    <row r="44" spans="2:11" ht="18" customHeight="1" x14ac:dyDescent="0.25">
      <c r="B44" s="118">
        <f>IF(M$5&lt;3,Συντελεστές!B9,Συντελεστές!C9)</f>
        <v>17000</v>
      </c>
      <c r="C44" s="114">
        <f>Συντελεστές!D9</f>
        <v>0.46</v>
      </c>
      <c r="D44" s="50">
        <f t="shared" si="8"/>
        <v>0</v>
      </c>
      <c r="E44" s="51">
        <f t="shared" si="9"/>
        <v>0</v>
      </c>
      <c r="F44" s="52">
        <f t="shared" ca="1" si="4"/>
        <v>0</v>
      </c>
      <c r="G44" s="53">
        <f t="shared" ca="1" si="5"/>
        <v>0</v>
      </c>
      <c r="H44" s="53">
        <f t="shared" ca="1" si="6"/>
        <v>0</v>
      </c>
      <c r="I44" s="54">
        <f t="shared" ca="1" si="7"/>
        <v>0</v>
      </c>
    </row>
    <row r="45" spans="2:11" ht="18" customHeight="1" x14ac:dyDescent="0.25">
      <c r="B45" s="118">
        <f>IF(M$5&lt;3,Συντελεστές!B10,Συντελεστές!C10)</f>
        <v>18000</v>
      </c>
      <c r="C45" s="114">
        <f>Συντελεστές!D10</f>
        <v>0.45</v>
      </c>
      <c r="D45" s="50">
        <f t="shared" si="8"/>
        <v>0</v>
      </c>
      <c r="E45" s="51">
        <f t="shared" si="9"/>
        <v>0</v>
      </c>
      <c r="F45" s="52">
        <f t="shared" ca="1" si="4"/>
        <v>0</v>
      </c>
      <c r="G45" s="53">
        <f t="shared" ca="1" si="5"/>
        <v>0</v>
      </c>
      <c r="H45" s="53">
        <f t="shared" ca="1" si="6"/>
        <v>0</v>
      </c>
      <c r="I45" s="54">
        <f t="shared" ca="1" si="7"/>
        <v>0</v>
      </c>
    </row>
    <row r="46" spans="2:11" ht="18" customHeight="1" x14ac:dyDescent="0.25">
      <c r="B46" s="118">
        <f>IF(M$5&lt;3,Συντελεστές!B11,Συντελεστές!C11)</f>
        <v>19000</v>
      </c>
      <c r="C46" s="114">
        <f>Συντελεστές!D11</f>
        <v>0.44</v>
      </c>
      <c r="D46" s="50">
        <f t="shared" si="8"/>
        <v>0</v>
      </c>
      <c r="E46" s="51">
        <f t="shared" si="9"/>
        <v>0</v>
      </c>
      <c r="F46" s="52">
        <f t="shared" ca="1" si="4"/>
        <v>0</v>
      </c>
      <c r="G46" s="53">
        <f t="shared" ca="1" si="5"/>
        <v>0</v>
      </c>
      <c r="H46" s="53">
        <f t="shared" ca="1" si="6"/>
        <v>0</v>
      </c>
      <c r="I46" s="54">
        <f t="shared" ca="1" si="7"/>
        <v>0</v>
      </c>
    </row>
    <row r="47" spans="2:11" ht="18" customHeight="1" x14ac:dyDescent="0.25">
      <c r="B47" s="118">
        <f>IF(M$5&lt;3,Συντελεστές!B12,Συντελεστές!C12)</f>
        <v>20000</v>
      </c>
      <c r="C47" s="114">
        <f>Συντελεστές!D12</f>
        <v>0.43</v>
      </c>
      <c r="D47" s="50">
        <f t="shared" si="8"/>
        <v>0</v>
      </c>
      <c r="E47" s="51">
        <f t="shared" si="9"/>
        <v>0</v>
      </c>
      <c r="F47" s="52">
        <f t="shared" ca="1" si="4"/>
        <v>0</v>
      </c>
      <c r="G47" s="53">
        <f t="shared" ca="1" si="5"/>
        <v>0</v>
      </c>
      <c r="H47" s="53">
        <f t="shared" ca="1" si="6"/>
        <v>0</v>
      </c>
      <c r="I47" s="54">
        <f t="shared" ca="1" si="7"/>
        <v>0</v>
      </c>
    </row>
    <row r="48" spans="2:11" ht="18" customHeight="1" x14ac:dyDescent="0.25">
      <c r="B48" s="118">
        <f>IF(M$5&lt;3,Συντελεστές!B13,Συντελεστές!C13)</f>
        <v>21000</v>
      </c>
      <c r="C48" s="114">
        <f>Συντελεστές!D13</f>
        <v>0.42</v>
      </c>
      <c r="D48" s="50">
        <f t="shared" si="8"/>
        <v>0</v>
      </c>
      <c r="E48" s="51">
        <f t="shared" si="9"/>
        <v>0</v>
      </c>
      <c r="F48" s="52">
        <f t="shared" ca="1" si="4"/>
        <v>0</v>
      </c>
      <c r="G48" s="53">
        <f t="shared" ca="1" si="5"/>
        <v>0</v>
      </c>
      <c r="H48" s="53">
        <f t="shared" ca="1" si="6"/>
        <v>0</v>
      </c>
      <c r="I48" s="54">
        <f t="shared" ca="1" si="7"/>
        <v>0</v>
      </c>
    </row>
    <row r="49" spans="2:9" ht="18" customHeight="1" x14ac:dyDescent="0.25">
      <c r="B49" s="118">
        <f>IF(M$5&lt;3,Συντελεστές!B14,Συντελεστές!C14)</f>
        <v>22000</v>
      </c>
      <c r="C49" s="114">
        <f>Συντελεστές!D14</f>
        <v>0.41</v>
      </c>
      <c r="D49" s="50">
        <f t="shared" si="8"/>
        <v>0</v>
      </c>
      <c r="E49" s="51">
        <f t="shared" si="9"/>
        <v>0</v>
      </c>
      <c r="F49" s="52">
        <f t="shared" ca="1" si="4"/>
        <v>0</v>
      </c>
      <c r="G49" s="53">
        <f t="shared" ca="1" si="5"/>
        <v>0</v>
      </c>
      <c r="H49" s="53">
        <f t="shared" ca="1" si="6"/>
        <v>0</v>
      </c>
      <c r="I49" s="54">
        <f t="shared" ca="1" si="7"/>
        <v>0</v>
      </c>
    </row>
    <row r="50" spans="2:9" ht="18" customHeight="1" x14ac:dyDescent="0.25">
      <c r="B50" s="118">
        <f>IF(M$5&lt;3,Συντελεστές!B15,Συντελεστές!C15)</f>
        <v>23000</v>
      </c>
      <c r="C50" s="114">
        <f>Συντελεστές!D15</f>
        <v>0.4</v>
      </c>
      <c r="D50" s="50">
        <f t="shared" si="8"/>
        <v>0</v>
      </c>
      <c r="E50" s="51">
        <f t="shared" si="9"/>
        <v>0</v>
      </c>
      <c r="F50" s="52">
        <f t="shared" ca="1" si="4"/>
        <v>0</v>
      </c>
      <c r="G50" s="53">
        <f t="shared" ca="1" si="5"/>
        <v>0</v>
      </c>
      <c r="H50" s="53">
        <f t="shared" ca="1" si="6"/>
        <v>0</v>
      </c>
      <c r="I50" s="54">
        <f t="shared" ca="1" si="7"/>
        <v>0</v>
      </c>
    </row>
    <row r="51" spans="2:9" ht="18" customHeight="1" x14ac:dyDescent="0.25">
      <c r="B51" s="118">
        <f>IF(M$5&lt;3,Συντελεστές!B16,Συντελεστές!C16)</f>
        <v>24000</v>
      </c>
      <c r="C51" s="114">
        <f>Συντελεστές!D16</f>
        <v>0.39</v>
      </c>
      <c r="D51" s="50">
        <f t="shared" si="8"/>
        <v>0</v>
      </c>
      <c r="E51" s="51">
        <f t="shared" si="9"/>
        <v>0</v>
      </c>
      <c r="F51" s="52">
        <f t="shared" ca="1" si="4"/>
        <v>0</v>
      </c>
      <c r="G51" s="53">
        <f t="shared" ca="1" si="5"/>
        <v>0</v>
      </c>
      <c r="H51" s="53">
        <f t="shared" ca="1" si="6"/>
        <v>0</v>
      </c>
      <c r="I51" s="54">
        <f t="shared" ca="1" si="7"/>
        <v>0</v>
      </c>
    </row>
    <row r="52" spans="2:9" ht="18" customHeight="1" x14ac:dyDescent="0.25">
      <c r="B52" s="118">
        <f>IF(M$5&lt;3,Συντελεστές!B17,Συντελεστές!C17)</f>
        <v>25000</v>
      </c>
      <c r="C52" s="114">
        <f>Συντελεστές!D17</f>
        <v>0.38</v>
      </c>
      <c r="D52" s="50">
        <f t="shared" si="8"/>
        <v>0</v>
      </c>
      <c r="E52" s="51">
        <f t="shared" si="9"/>
        <v>0</v>
      </c>
      <c r="F52" s="52">
        <f t="shared" ca="1" si="4"/>
        <v>0</v>
      </c>
      <c r="G52" s="53">
        <f t="shared" ca="1" si="5"/>
        <v>0</v>
      </c>
      <c r="H52" s="53">
        <f t="shared" ca="1" si="6"/>
        <v>0</v>
      </c>
      <c r="I52" s="54">
        <f t="shared" ca="1" si="7"/>
        <v>0</v>
      </c>
    </row>
    <row r="53" spans="2:9" ht="18" customHeight="1" x14ac:dyDescent="0.25">
      <c r="B53" s="118">
        <f>IF(M$5&lt;3,Συντελεστές!B18,Συντελεστές!C18)</f>
        <v>26000</v>
      </c>
      <c r="C53" s="114">
        <f>Συντελεστές!D18</f>
        <v>0.37</v>
      </c>
      <c r="D53" s="50">
        <f t="shared" si="8"/>
        <v>0</v>
      </c>
      <c r="E53" s="51">
        <f t="shared" si="9"/>
        <v>0</v>
      </c>
      <c r="F53" s="52">
        <f t="shared" ca="1" si="4"/>
        <v>0</v>
      </c>
      <c r="G53" s="53">
        <f t="shared" ca="1" si="5"/>
        <v>0</v>
      </c>
      <c r="H53" s="53">
        <f t="shared" ca="1" si="6"/>
        <v>0</v>
      </c>
      <c r="I53" s="54">
        <f t="shared" ca="1" si="7"/>
        <v>0</v>
      </c>
    </row>
    <row r="54" spans="2:9" ht="18" customHeight="1" x14ac:dyDescent="0.25">
      <c r="B54" s="118">
        <f>IF(M$5&lt;3,Συντελεστές!B19,Συντελεστές!C19)</f>
        <v>27000</v>
      </c>
      <c r="C54" s="114">
        <f>Συντελεστές!D19</f>
        <v>0.36</v>
      </c>
      <c r="D54" s="50">
        <f t="shared" si="8"/>
        <v>0</v>
      </c>
      <c r="E54" s="51">
        <f t="shared" si="9"/>
        <v>0</v>
      </c>
      <c r="F54" s="52">
        <f t="shared" ca="1" si="4"/>
        <v>0</v>
      </c>
      <c r="G54" s="53">
        <f t="shared" ca="1" si="5"/>
        <v>0</v>
      </c>
      <c r="H54" s="53">
        <f t="shared" ca="1" si="6"/>
        <v>0</v>
      </c>
      <c r="I54" s="54">
        <f t="shared" ca="1" si="7"/>
        <v>0</v>
      </c>
    </row>
    <row r="55" spans="2:9" ht="18" customHeight="1" x14ac:dyDescent="0.25">
      <c r="B55" s="118">
        <f>IF(M$5&lt;3,Συντελεστές!B20,Συντελεστές!C20)</f>
        <v>28000</v>
      </c>
      <c r="C55" s="114">
        <f>Συντελεστές!D20</f>
        <v>0.35</v>
      </c>
      <c r="D55" s="50">
        <f t="shared" si="8"/>
        <v>0</v>
      </c>
      <c r="E55" s="51">
        <f t="shared" si="9"/>
        <v>0</v>
      </c>
      <c r="F55" s="52">
        <f t="shared" ca="1" si="4"/>
        <v>0</v>
      </c>
      <c r="G55" s="53">
        <f t="shared" ca="1" si="5"/>
        <v>0</v>
      </c>
      <c r="H55" s="53">
        <f t="shared" ca="1" si="6"/>
        <v>0</v>
      </c>
      <c r="I55" s="54">
        <f t="shared" ca="1" si="7"/>
        <v>0</v>
      </c>
    </row>
    <row r="56" spans="2:9" ht="18" customHeight="1" x14ac:dyDescent="0.25">
      <c r="B56" s="118">
        <f>IF(M$5&lt;3,Συντελεστές!B21,Συντελεστές!C21)</f>
        <v>29000</v>
      </c>
      <c r="C56" s="114">
        <f>Συντελεστές!D21</f>
        <v>0.34</v>
      </c>
      <c r="D56" s="50">
        <f t="shared" si="8"/>
        <v>0</v>
      </c>
      <c r="E56" s="51">
        <f t="shared" si="9"/>
        <v>0</v>
      </c>
      <c r="F56" s="52">
        <f t="shared" ca="1" si="4"/>
        <v>0</v>
      </c>
      <c r="G56" s="53">
        <f t="shared" ca="1" si="5"/>
        <v>0</v>
      </c>
      <c r="H56" s="53">
        <f t="shared" ca="1" si="6"/>
        <v>0</v>
      </c>
      <c r="I56" s="54">
        <f t="shared" ca="1" si="7"/>
        <v>0</v>
      </c>
    </row>
    <row r="57" spans="2:9" ht="18" customHeight="1" x14ac:dyDescent="0.25">
      <c r="B57" s="118">
        <f>IF(M$5&lt;3,Συντελεστές!B22,Συντελεστές!C22)</f>
        <v>30000</v>
      </c>
      <c r="C57" s="114">
        <f>Συντελεστές!D22</f>
        <v>0.33</v>
      </c>
      <c r="D57" s="50">
        <f t="shared" si="8"/>
        <v>0</v>
      </c>
      <c r="E57" s="51">
        <f t="shared" si="9"/>
        <v>0</v>
      </c>
      <c r="F57" s="52">
        <f t="shared" ca="1" si="4"/>
        <v>0</v>
      </c>
      <c r="G57" s="53">
        <f t="shared" ca="1" si="5"/>
        <v>0</v>
      </c>
      <c r="H57" s="53">
        <f t="shared" ca="1" si="6"/>
        <v>0</v>
      </c>
      <c r="I57" s="54">
        <f t="shared" ca="1" si="7"/>
        <v>0</v>
      </c>
    </row>
    <row r="58" spans="2:9" ht="18" customHeight="1" x14ac:dyDescent="0.25">
      <c r="B58" s="118">
        <f>IF(M$5&lt;3,Συντελεστές!B23,Συντελεστές!C23)</f>
        <v>31000</v>
      </c>
      <c r="C58" s="114">
        <f>Συντελεστές!D23</f>
        <v>0.32</v>
      </c>
      <c r="D58" s="50">
        <f t="shared" si="8"/>
        <v>0</v>
      </c>
      <c r="E58" s="51">
        <f t="shared" si="9"/>
        <v>0</v>
      </c>
      <c r="F58" s="52">
        <f t="shared" ca="1" si="4"/>
        <v>0</v>
      </c>
      <c r="G58" s="53">
        <f t="shared" ca="1" si="5"/>
        <v>0</v>
      </c>
      <c r="H58" s="53">
        <f t="shared" ca="1" si="6"/>
        <v>0</v>
      </c>
      <c r="I58" s="54">
        <f t="shared" ca="1" si="7"/>
        <v>0</v>
      </c>
    </row>
    <row r="59" spans="2:9" ht="18" customHeight="1" x14ac:dyDescent="0.25">
      <c r="B59" s="118">
        <f>IF(M$5&lt;3,Συντελεστές!B24,Συντελεστές!C24)</f>
        <v>32000</v>
      </c>
      <c r="C59" s="114">
        <f>Συντελεστές!D24</f>
        <v>0.31</v>
      </c>
      <c r="D59" s="50">
        <f t="shared" si="8"/>
        <v>0</v>
      </c>
      <c r="E59" s="51">
        <f t="shared" si="9"/>
        <v>0</v>
      </c>
      <c r="F59" s="52">
        <f t="shared" ca="1" si="4"/>
        <v>0</v>
      </c>
      <c r="G59" s="53">
        <f t="shared" ca="1" si="5"/>
        <v>0</v>
      </c>
      <c r="H59" s="53">
        <f t="shared" ca="1" si="6"/>
        <v>0</v>
      </c>
      <c r="I59" s="54">
        <f t="shared" ca="1" si="7"/>
        <v>0</v>
      </c>
    </row>
    <row r="60" spans="2:9" ht="18" customHeight="1" x14ac:dyDescent="0.25">
      <c r="B60" s="118">
        <f>IF(M$5&lt;3,Συντελεστές!B25,Συντελεστές!C25)</f>
        <v>33000</v>
      </c>
      <c r="C60" s="114">
        <f>Συντελεστές!D25</f>
        <v>0.3</v>
      </c>
      <c r="D60" s="50">
        <f t="shared" si="8"/>
        <v>0</v>
      </c>
      <c r="E60" s="51">
        <f t="shared" si="9"/>
        <v>0</v>
      </c>
      <c r="F60" s="52">
        <f t="shared" ca="1" si="4"/>
        <v>0</v>
      </c>
      <c r="G60" s="53">
        <f t="shared" ca="1" si="5"/>
        <v>0</v>
      </c>
      <c r="H60" s="53">
        <f t="shared" ca="1" si="6"/>
        <v>0</v>
      </c>
      <c r="I60" s="54">
        <f t="shared" ca="1" si="7"/>
        <v>0</v>
      </c>
    </row>
    <row r="61" spans="2:9" ht="18" customHeight="1" x14ac:dyDescent="0.25">
      <c r="B61" s="118">
        <f>IF(M$5&lt;3,Συντελεστές!B26,Συντελεστές!C26)</f>
        <v>34000</v>
      </c>
      <c r="C61" s="114">
        <f>Συντελεστές!D26</f>
        <v>0.28999999999999998</v>
      </c>
      <c r="D61" s="50">
        <f t="shared" si="8"/>
        <v>0</v>
      </c>
      <c r="E61" s="51">
        <f t="shared" si="9"/>
        <v>0</v>
      </c>
      <c r="F61" s="52">
        <f t="shared" ca="1" si="4"/>
        <v>0</v>
      </c>
      <c r="G61" s="53">
        <f t="shared" ca="1" si="5"/>
        <v>0</v>
      </c>
      <c r="H61" s="53">
        <f t="shared" ca="1" si="6"/>
        <v>0</v>
      </c>
      <c r="I61" s="54">
        <f t="shared" ca="1" si="7"/>
        <v>0</v>
      </c>
    </row>
    <row r="62" spans="2:9" ht="18" customHeight="1" x14ac:dyDescent="0.25">
      <c r="B62" s="118">
        <f>IF(M$5&lt;3,Συντελεστές!B27,Συντελεστές!C27)</f>
        <v>35000</v>
      </c>
      <c r="C62" s="114">
        <f>Συντελεστές!D27</f>
        <v>0.28000000000000003</v>
      </c>
      <c r="D62" s="50">
        <f t="shared" si="8"/>
        <v>0</v>
      </c>
      <c r="E62" s="51">
        <f t="shared" si="9"/>
        <v>0</v>
      </c>
      <c r="F62" s="52">
        <f t="shared" ca="1" si="4"/>
        <v>0</v>
      </c>
      <c r="G62" s="53">
        <f t="shared" ca="1" si="5"/>
        <v>0</v>
      </c>
      <c r="H62" s="53">
        <f t="shared" ca="1" si="6"/>
        <v>0</v>
      </c>
      <c r="I62" s="54">
        <f t="shared" ca="1" si="7"/>
        <v>0</v>
      </c>
    </row>
    <row r="63" spans="2:9" ht="18" customHeight="1" x14ac:dyDescent="0.25">
      <c r="B63" s="118">
        <f>IF(M$5&lt;3,Συντελεστές!B28,Συντελεστές!C28)</f>
        <v>36000</v>
      </c>
      <c r="C63" s="114">
        <f>Συντελεστές!D28</f>
        <v>0.27</v>
      </c>
      <c r="D63" s="50">
        <f t="shared" si="8"/>
        <v>0</v>
      </c>
      <c r="E63" s="51">
        <f t="shared" si="9"/>
        <v>0</v>
      </c>
      <c r="F63" s="52">
        <f t="shared" ca="1" si="4"/>
        <v>0</v>
      </c>
      <c r="G63" s="53">
        <f t="shared" ca="1" si="5"/>
        <v>0</v>
      </c>
      <c r="H63" s="53">
        <f t="shared" ca="1" si="6"/>
        <v>0</v>
      </c>
      <c r="I63" s="54">
        <f t="shared" ca="1" si="7"/>
        <v>0</v>
      </c>
    </row>
    <row r="64" spans="2:9" ht="18" customHeight="1" x14ac:dyDescent="0.25">
      <c r="B64" s="118">
        <f>IF(M$5&lt;3,Συντελεστές!B29,Συντελεστές!C29)</f>
        <v>37000</v>
      </c>
      <c r="C64" s="114">
        <f>Συντελεστές!D29</f>
        <v>0.26</v>
      </c>
      <c r="D64" s="50">
        <f t="shared" si="8"/>
        <v>0</v>
      </c>
      <c r="E64" s="51">
        <f t="shared" si="9"/>
        <v>0</v>
      </c>
      <c r="F64" s="52">
        <f t="shared" ca="1" si="4"/>
        <v>0</v>
      </c>
      <c r="G64" s="53">
        <f t="shared" ca="1" si="5"/>
        <v>0</v>
      </c>
      <c r="H64" s="53">
        <f t="shared" ca="1" si="6"/>
        <v>0</v>
      </c>
      <c r="I64" s="54">
        <f t="shared" ca="1" si="7"/>
        <v>0</v>
      </c>
    </row>
    <row r="65" spans="2:9" ht="18" customHeight="1" x14ac:dyDescent="0.25">
      <c r="B65" s="118">
        <f>IF(M$5&lt;3,Συντελεστές!B30,Συντελεστές!C30)</f>
        <v>38000</v>
      </c>
      <c r="C65" s="114">
        <f>Συντελεστές!D30</f>
        <v>0.25</v>
      </c>
      <c r="D65" s="50">
        <f t="shared" si="8"/>
        <v>0</v>
      </c>
      <c r="E65" s="51">
        <f t="shared" si="9"/>
        <v>0</v>
      </c>
      <c r="F65" s="52">
        <f t="shared" ca="1" si="4"/>
        <v>0</v>
      </c>
      <c r="G65" s="53">
        <f t="shared" ca="1" si="5"/>
        <v>0</v>
      </c>
      <c r="H65" s="53">
        <f t="shared" ca="1" si="6"/>
        <v>0</v>
      </c>
      <c r="I65" s="54">
        <f t="shared" ca="1" si="7"/>
        <v>0</v>
      </c>
    </row>
    <row r="66" spans="2:9" ht="18" customHeight="1" x14ac:dyDescent="0.25">
      <c r="B66" s="118">
        <f>IF(M$5&lt;3,Συντελεστές!B31,Συντελεστές!C31)</f>
        <v>39000</v>
      </c>
      <c r="C66" s="114">
        <f>Συντελεστές!D31</f>
        <v>0.24</v>
      </c>
      <c r="D66" s="50">
        <f t="shared" si="8"/>
        <v>0</v>
      </c>
      <c r="E66" s="51">
        <f t="shared" si="9"/>
        <v>0</v>
      </c>
      <c r="F66" s="52">
        <f t="shared" ca="1" si="4"/>
        <v>0</v>
      </c>
      <c r="G66" s="53">
        <f t="shared" ca="1" si="5"/>
        <v>0</v>
      </c>
      <c r="H66" s="53">
        <f t="shared" ca="1" si="6"/>
        <v>0</v>
      </c>
      <c r="I66" s="54">
        <f t="shared" ca="1" si="7"/>
        <v>0</v>
      </c>
    </row>
    <row r="67" spans="2:9" ht="18" customHeight="1" x14ac:dyDescent="0.25">
      <c r="B67" s="118">
        <f>IF(M$5&lt;3,Συντελεστές!B32,Συντελεστές!C32)</f>
        <v>40000</v>
      </c>
      <c r="C67" s="114">
        <f>Συντελεστές!D32</f>
        <v>0.23</v>
      </c>
      <c r="D67" s="50">
        <f t="shared" si="8"/>
        <v>0</v>
      </c>
      <c r="E67" s="51">
        <f t="shared" si="9"/>
        <v>0</v>
      </c>
      <c r="F67" s="52">
        <f t="shared" ca="1" si="4"/>
        <v>0</v>
      </c>
      <c r="G67" s="53">
        <f t="shared" ca="1" si="5"/>
        <v>0</v>
      </c>
      <c r="H67" s="53">
        <f t="shared" ca="1" si="6"/>
        <v>0</v>
      </c>
      <c r="I67" s="54">
        <f t="shared" ca="1" si="7"/>
        <v>0</v>
      </c>
    </row>
    <row r="68" spans="2:9" ht="18" customHeight="1" x14ac:dyDescent="0.25">
      <c r="B68" s="118">
        <f>IF(M$5&lt;3,Συντελεστές!B33,Συντελεστές!C33)</f>
        <v>41000</v>
      </c>
      <c r="C68" s="114">
        <f>Συντελεστές!D33</f>
        <v>0.22</v>
      </c>
      <c r="D68" s="50">
        <f t="shared" si="8"/>
        <v>0</v>
      </c>
      <c r="E68" s="51">
        <f t="shared" si="9"/>
        <v>0</v>
      </c>
      <c r="F68" s="52">
        <f t="shared" ca="1" si="4"/>
        <v>0</v>
      </c>
      <c r="G68" s="53">
        <f t="shared" ca="1" si="5"/>
        <v>0</v>
      </c>
      <c r="H68" s="53">
        <f t="shared" ca="1" si="6"/>
        <v>0</v>
      </c>
      <c r="I68" s="54">
        <f t="shared" ca="1" si="7"/>
        <v>0</v>
      </c>
    </row>
    <row r="69" spans="2:9" ht="18" customHeight="1" x14ac:dyDescent="0.25">
      <c r="B69" s="118">
        <f>IF(M$5&lt;3,Συντελεστές!B34,Συντελεστές!C34)</f>
        <v>42000</v>
      </c>
      <c r="C69" s="114">
        <f>Συντελεστές!D34</f>
        <v>0.21</v>
      </c>
      <c r="D69" s="50">
        <f t="shared" si="8"/>
        <v>0</v>
      </c>
      <c r="E69" s="51">
        <f t="shared" si="9"/>
        <v>0</v>
      </c>
      <c r="F69" s="52">
        <f t="shared" ca="1" si="4"/>
        <v>0</v>
      </c>
      <c r="G69" s="53">
        <f t="shared" ca="1" si="5"/>
        <v>0</v>
      </c>
      <c r="H69" s="53">
        <f t="shared" ca="1" si="6"/>
        <v>0</v>
      </c>
      <c r="I69" s="54">
        <f t="shared" ca="1" si="7"/>
        <v>0</v>
      </c>
    </row>
    <row r="70" spans="2:9" ht="18" customHeight="1" x14ac:dyDescent="0.25">
      <c r="B70" s="118">
        <f>IF(M$5&lt;3,Συντελεστές!B35,Συντελεστές!C35)</f>
        <v>43000</v>
      </c>
      <c r="C70" s="114">
        <f>Συντελεστές!D35</f>
        <v>0.2</v>
      </c>
      <c r="D70" s="50">
        <f t="shared" si="8"/>
        <v>0</v>
      </c>
      <c r="E70" s="51">
        <f t="shared" si="9"/>
        <v>0</v>
      </c>
      <c r="F70" s="52">
        <f t="shared" ca="1" si="4"/>
        <v>0</v>
      </c>
      <c r="G70" s="53">
        <f t="shared" ca="1" si="5"/>
        <v>0</v>
      </c>
      <c r="H70" s="53">
        <f t="shared" ca="1" si="6"/>
        <v>0</v>
      </c>
      <c r="I70" s="54">
        <f t="shared" ca="1" si="7"/>
        <v>0</v>
      </c>
    </row>
    <row r="71" spans="2:9" ht="18" customHeight="1" x14ac:dyDescent="0.25">
      <c r="B71" s="118">
        <f>IF(M$5&lt;3,Συντελεστές!B36,Συντελεστές!C36)</f>
        <v>44000</v>
      </c>
      <c r="C71" s="114">
        <f>Συντελεστές!D36</f>
        <v>0.19</v>
      </c>
      <c r="D71" s="50">
        <f t="shared" si="8"/>
        <v>0</v>
      </c>
      <c r="E71" s="51">
        <f t="shared" si="9"/>
        <v>0</v>
      </c>
      <c r="F71" s="52">
        <f t="shared" ca="1" si="4"/>
        <v>0</v>
      </c>
      <c r="G71" s="53">
        <f t="shared" ca="1" si="5"/>
        <v>0</v>
      </c>
      <c r="H71" s="53">
        <f t="shared" ca="1" si="6"/>
        <v>0</v>
      </c>
      <c r="I71" s="54">
        <f t="shared" ca="1" si="7"/>
        <v>0</v>
      </c>
    </row>
    <row r="72" spans="2:9" ht="18" customHeight="1" x14ac:dyDescent="0.25">
      <c r="B72" s="118">
        <f>IF(M$5&lt;3,Συντελεστές!B37,Συντελεστές!C37)</f>
        <v>45000</v>
      </c>
      <c r="C72" s="114">
        <f>Συντελεστές!D37</f>
        <v>0.18</v>
      </c>
      <c r="D72" s="50">
        <f t="shared" si="8"/>
        <v>0</v>
      </c>
      <c r="E72" s="51">
        <f t="shared" si="9"/>
        <v>0</v>
      </c>
      <c r="F72" s="52">
        <f t="shared" ca="1" si="4"/>
        <v>0</v>
      </c>
      <c r="G72" s="53">
        <f t="shared" ca="1" si="5"/>
        <v>0</v>
      </c>
      <c r="H72" s="53">
        <f t="shared" ca="1" si="6"/>
        <v>0</v>
      </c>
      <c r="I72" s="54">
        <f t="shared" ca="1" si="7"/>
        <v>0</v>
      </c>
    </row>
    <row r="73" spans="2:9" ht="18" customHeight="1" x14ac:dyDescent="0.25">
      <c r="B73" s="118">
        <f>IF(M$5&lt;3,Συντελεστές!B38,Συντελεστές!C38)</f>
        <v>46000</v>
      </c>
      <c r="C73" s="114">
        <f>Συντελεστές!D38</f>
        <v>0.17</v>
      </c>
      <c r="D73" s="50">
        <f t="shared" si="8"/>
        <v>0</v>
      </c>
      <c r="E73" s="51">
        <f t="shared" si="9"/>
        <v>0</v>
      </c>
      <c r="F73" s="52">
        <f t="shared" ca="1" si="4"/>
        <v>0</v>
      </c>
      <c r="G73" s="53">
        <f t="shared" ca="1" si="5"/>
        <v>0</v>
      </c>
      <c r="H73" s="53">
        <f t="shared" ca="1" si="6"/>
        <v>0</v>
      </c>
      <c r="I73" s="54">
        <f t="shared" ca="1" si="7"/>
        <v>0</v>
      </c>
    </row>
    <row r="74" spans="2:9" ht="18" customHeight="1" x14ac:dyDescent="0.25">
      <c r="B74" s="118">
        <f>IF(M$5&lt;3,Συντελεστές!B39,Συντελεστές!C39)</f>
        <v>47000</v>
      </c>
      <c r="C74" s="114">
        <f>Συντελεστές!D39</f>
        <v>0.16</v>
      </c>
      <c r="D74" s="50">
        <f t="shared" si="8"/>
        <v>0</v>
      </c>
      <c r="E74" s="51">
        <f t="shared" si="9"/>
        <v>0</v>
      </c>
      <c r="F74" s="52">
        <f t="shared" ca="1" si="4"/>
        <v>0</v>
      </c>
      <c r="G74" s="53">
        <f t="shared" ca="1" si="5"/>
        <v>0</v>
      </c>
      <c r="H74" s="53">
        <f t="shared" ca="1" si="6"/>
        <v>0</v>
      </c>
      <c r="I74" s="54">
        <f t="shared" ca="1" si="7"/>
        <v>0</v>
      </c>
    </row>
    <row r="75" spans="2:9" ht="18" customHeight="1" x14ac:dyDescent="0.25">
      <c r="B75" s="118">
        <f>IF(M$5&lt;3,Συντελεστές!B40,Συντελεστές!C40)</f>
        <v>48000</v>
      </c>
      <c r="C75" s="114">
        <f>Συντελεστές!D40</f>
        <v>0.15</v>
      </c>
      <c r="D75" s="50">
        <f t="shared" si="8"/>
        <v>0</v>
      </c>
      <c r="E75" s="51">
        <f t="shared" si="9"/>
        <v>0</v>
      </c>
      <c r="F75" s="52">
        <f t="shared" ca="1" si="4"/>
        <v>0</v>
      </c>
      <c r="G75" s="53">
        <f t="shared" ca="1" si="5"/>
        <v>0</v>
      </c>
      <c r="H75" s="53">
        <f t="shared" ca="1" si="6"/>
        <v>0</v>
      </c>
      <c r="I75" s="54">
        <f t="shared" ca="1" si="7"/>
        <v>0</v>
      </c>
    </row>
    <row r="76" spans="2:9" ht="18" customHeight="1" x14ac:dyDescent="0.25">
      <c r="B76" s="118">
        <f>IF(M$5&lt;3,Συντελεστές!B41,Συντελεστές!C41)</f>
        <v>49000</v>
      </c>
      <c r="C76" s="114">
        <f>Συντελεστές!D41</f>
        <v>0.14000000000000001</v>
      </c>
      <c r="D76" s="50">
        <f t="shared" si="8"/>
        <v>0</v>
      </c>
      <c r="E76" s="51">
        <f t="shared" si="9"/>
        <v>0</v>
      </c>
      <c r="F76" s="52">
        <f t="shared" ca="1" si="4"/>
        <v>0</v>
      </c>
      <c r="G76" s="53">
        <f t="shared" ca="1" si="5"/>
        <v>0</v>
      </c>
      <c r="H76" s="53">
        <f t="shared" ca="1" si="6"/>
        <v>0</v>
      </c>
      <c r="I76" s="54">
        <f t="shared" ca="1" si="7"/>
        <v>0</v>
      </c>
    </row>
    <row r="77" spans="2:9" ht="18" customHeight="1" x14ac:dyDescent="0.25">
      <c r="B77" s="118">
        <f>IF(M$5&lt;3,Συντελεστές!B42,Συντελεστές!C42)</f>
        <v>50000</v>
      </c>
      <c r="C77" s="114">
        <f>Συντελεστές!D42</f>
        <v>0.13</v>
      </c>
      <c r="D77" s="50">
        <f t="shared" si="8"/>
        <v>0</v>
      </c>
      <c r="E77" s="51">
        <f t="shared" si="9"/>
        <v>0</v>
      </c>
      <c r="F77" s="52">
        <f t="shared" ca="1" si="4"/>
        <v>0</v>
      </c>
      <c r="G77" s="53">
        <f t="shared" ca="1" si="5"/>
        <v>0</v>
      </c>
      <c r="H77" s="53">
        <f t="shared" ca="1" si="6"/>
        <v>0</v>
      </c>
      <c r="I77" s="54">
        <f t="shared" ca="1" si="7"/>
        <v>0</v>
      </c>
    </row>
    <row r="78" spans="2:9" ht="18" customHeight="1" x14ac:dyDescent="0.25">
      <c r="B78" s="118">
        <f>IF(M$5&lt;3,Συντελεστές!B43,Συντελεστές!C43)</f>
        <v>51000</v>
      </c>
      <c r="C78" s="114">
        <f>Συντελεστές!D43</f>
        <v>0.12</v>
      </c>
      <c r="D78" s="50">
        <f t="shared" si="8"/>
        <v>0</v>
      </c>
      <c r="E78" s="51">
        <f t="shared" si="9"/>
        <v>0</v>
      </c>
      <c r="F78" s="52">
        <f t="shared" ca="1" si="4"/>
        <v>0</v>
      </c>
      <c r="G78" s="53">
        <f t="shared" ca="1" si="5"/>
        <v>0</v>
      </c>
      <c r="H78" s="53">
        <f t="shared" ca="1" si="6"/>
        <v>0</v>
      </c>
      <c r="I78" s="54">
        <f t="shared" ca="1" si="7"/>
        <v>0</v>
      </c>
    </row>
    <row r="79" spans="2:9" ht="18" customHeight="1" x14ac:dyDescent="0.25">
      <c r="B79" s="118">
        <f>IF(M$5&lt;3,Συντελεστές!B44,Συντελεστές!C44)</f>
        <v>52000</v>
      </c>
      <c r="C79" s="114">
        <f>Συντελεστές!D44</f>
        <v>0.11</v>
      </c>
      <c r="D79" s="50">
        <f t="shared" si="8"/>
        <v>0</v>
      </c>
      <c r="E79" s="51">
        <f t="shared" si="9"/>
        <v>0</v>
      </c>
      <c r="F79" s="52">
        <f t="shared" ca="1" si="4"/>
        <v>0</v>
      </c>
      <c r="G79" s="53">
        <f t="shared" ca="1" si="5"/>
        <v>0</v>
      </c>
      <c r="H79" s="53">
        <f t="shared" ca="1" si="6"/>
        <v>0</v>
      </c>
      <c r="I79" s="54">
        <f t="shared" ca="1" si="7"/>
        <v>0</v>
      </c>
    </row>
    <row r="80" spans="2:9" ht="18" customHeight="1" x14ac:dyDescent="0.25">
      <c r="B80" s="118">
        <f>IF(M$5&lt;3,Συντελεστές!B45,Συντελεστές!C45)</f>
        <v>53000</v>
      </c>
      <c r="C80" s="114">
        <f>Συντελεστές!D45</f>
        <v>0.1</v>
      </c>
      <c r="D80" s="50">
        <f t="shared" si="8"/>
        <v>0</v>
      </c>
      <c r="E80" s="51">
        <f t="shared" si="9"/>
        <v>0</v>
      </c>
      <c r="F80" s="52">
        <f t="shared" ca="1" si="4"/>
        <v>0</v>
      </c>
      <c r="G80" s="53">
        <f t="shared" ca="1" si="5"/>
        <v>0</v>
      </c>
      <c r="H80" s="53">
        <f t="shared" ca="1" si="6"/>
        <v>0</v>
      </c>
      <c r="I80" s="54">
        <f t="shared" ca="1" si="7"/>
        <v>0</v>
      </c>
    </row>
    <row r="81" spans="2:9" ht="18" customHeight="1" x14ac:dyDescent="0.25">
      <c r="B81" s="118">
        <f>IF(M$5&lt;3,Συντελεστές!B46,Συντελεστές!C46)</f>
        <v>54000</v>
      </c>
      <c r="C81" s="114">
        <f>Συντελεστές!D46</f>
        <v>0.09</v>
      </c>
      <c r="D81" s="50">
        <f t="shared" si="8"/>
        <v>0</v>
      </c>
      <c r="E81" s="51">
        <f t="shared" si="9"/>
        <v>0</v>
      </c>
      <c r="F81" s="52">
        <f t="shared" ca="1" si="4"/>
        <v>0</v>
      </c>
      <c r="G81" s="53">
        <f t="shared" ca="1" si="5"/>
        <v>0</v>
      </c>
      <c r="H81" s="53">
        <f t="shared" ca="1" si="6"/>
        <v>0</v>
      </c>
      <c r="I81" s="54">
        <f t="shared" ca="1" si="7"/>
        <v>0</v>
      </c>
    </row>
    <row r="82" spans="2:9" ht="18" customHeight="1" x14ac:dyDescent="0.25">
      <c r="B82" s="118">
        <f>IF(M$5&lt;3,Συντελεστές!B47,Συντελεστές!C47)</f>
        <v>55000</v>
      </c>
      <c r="C82" s="114">
        <f>Συντελεστές!D47</f>
        <v>0.08</v>
      </c>
      <c r="D82" s="50">
        <f t="shared" si="8"/>
        <v>0</v>
      </c>
      <c r="E82" s="51">
        <f t="shared" si="9"/>
        <v>0</v>
      </c>
      <c r="F82" s="52">
        <f t="shared" ca="1" si="4"/>
        <v>0</v>
      </c>
      <c r="G82" s="53">
        <f t="shared" ca="1" si="5"/>
        <v>0</v>
      </c>
      <c r="H82" s="53">
        <f t="shared" ca="1" si="6"/>
        <v>0</v>
      </c>
      <c r="I82" s="54">
        <f t="shared" ca="1" si="7"/>
        <v>0</v>
      </c>
    </row>
    <row r="83" spans="2:9" ht="18" customHeight="1" x14ac:dyDescent="0.25">
      <c r="B83" s="118">
        <f>IF(M$5&lt;3,Συντελεστές!B48,Συντελεστές!C48)</f>
        <v>56000</v>
      </c>
      <c r="C83" s="114">
        <f>Συντελεστές!D48</f>
        <v>7.0000000000000007E-2</v>
      </c>
      <c r="D83" s="50">
        <f t="shared" si="8"/>
        <v>0</v>
      </c>
      <c r="E83" s="51">
        <f t="shared" si="9"/>
        <v>0</v>
      </c>
      <c r="F83" s="52">
        <f t="shared" ca="1" si="4"/>
        <v>0</v>
      </c>
      <c r="G83" s="53">
        <f t="shared" ca="1" si="5"/>
        <v>0</v>
      </c>
      <c r="H83" s="53">
        <f t="shared" ca="1" si="6"/>
        <v>0</v>
      </c>
      <c r="I83" s="54">
        <f t="shared" ca="1" si="7"/>
        <v>0</v>
      </c>
    </row>
    <row r="84" spans="2:9" ht="18" customHeight="1" x14ac:dyDescent="0.25">
      <c r="B84" s="118">
        <f>IF(M$5&lt;3,Συντελεστές!B49,Συντελεστές!C49)</f>
        <v>57000</v>
      </c>
      <c r="C84" s="114">
        <f>Συντελεστές!D49</f>
        <v>0.06</v>
      </c>
      <c r="D84" s="50">
        <f t="shared" si="8"/>
        <v>0</v>
      </c>
      <c r="E84" s="51">
        <f t="shared" si="9"/>
        <v>0</v>
      </c>
      <c r="F84" s="52">
        <f t="shared" ca="1" si="4"/>
        <v>0</v>
      </c>
      <c r="G84" s="53">
        <f t="shared" ca="1" si="5"/>
        <v>0</v>
      </c>
      <c r="H84" s="53">
        <f t="shared" ca="1" si="6"/>
        <v>0</v>
      </c>
      <c r="I84" s="54">
        <f t="shared" ca="1" si="7"/>
        <v>0</v>
      </c>
    </row>
    <row r="85" spans="2:9" ht="18" customHeight="1" x14ac:dyDescent="0.25">
      <c r="B85" s="118">
        <f>IF(M$5&lt;3,Συντελεστές!B50,Συντελεστές!C50)</f>
        <v>58000</v>
      </c>
      <c r="C85" s="114">
        <f>Συντελεστές!D50</f>
        <v>0.05</v>
      </c>
      <c r="D85" s="50">
        <f t="shared" si="8"/>
        <v>0</v>
      </c>
      <c r="E85" s="51">
        <f t="shared" si="9"/>
        <v>0</v>
      </c>
      <c r="F85" s="52">
        <f t="shared" ca="1" si="4"/>
        <v>0</v>
      </c>
      <c r="G85" s="53">
        <f t="shared" ca="1" si="5"/>
        <v>0</v>
      </c>
      <c r="H85" s="53">
        <f t="shared" ca="1" si="6"/>
        <v>0</v>
      </c>
      <c r="I85" s="54">
        <f t="shared" ca="1" si="7"/>
        <v>0</v>
      </c>
    </row>
    <row r="86" spans="2:9" ht="18" customHeight="1" thickBot="1" x14ac:dyDescent="0.3">
      <c r="B86" s="119"/>
      <c r="C86" s="115">
        <v>0</v>
      </c>
      <c r="D86" s="55">
        <f>MAX(D$38-B85,0)</f>
        <v>0</v>
      </c>
      <c r="E86" s="56">
        <f t="shared" si="9"/>
        <v>0</v>
      </c>
      <c r="F86" s="57">
        <f t="shared" ca="1" si="4"/>
        <v>0</v>
      </c>
      <c r="G86" s="58">
        <f t="shared" ca="1" si="5"/>
        <v>0</v>
      </c>
      <c r="H86" s="58">
        <f t="shared" ca="1" si="6"/>
        <v>0</v>
      </c>
      <c r="I86" s="59">
        <f t="shared" ca="1" si="7"/>
        <v>0</v>
      </c>
    </row>
    <row r="87" spans="2:9" ht="18" customHeight="1" x14ac:dyDescent="0.25">
      <c r="D87" s="1"/>
      <c r="E87" s="1"/>
    </row>
  </sheetData>
  <sheetProtection algorithmName="SHA-512" hashValue="4bjmUo+qy0wyeVKSjX+16/jQ2Cy1eZjMUef2gjs2R+YJAp3Jk9MNuRqh/8nWcGfNW1G69HmXNjDT6fpZ8xuFfQ==" saltValue="o8SzfUWtSu68XtMn4AskgA==" spinCount="100000" sheet="1" selectLockedCells="1"/>
  <mergeCells count="18">
    <mergeCell ref="J38:K38"/>
    <mergeCell ref="J37:K37"/>
    <mergeCell ref="B7:H7"/>
    <mergeCell ref="C32:C37"/>
    <mergeCell ref="B32:B37"/>
    <mergeCell ref="D4:G4"/>
    <mergeCell ref="J36:K36"/>
    <mergeCell ref="J35:K35"/>
    <mergeCell ref="D32:D37"/>
    <mergeCell ref="E32:E37"/>
    <mergeCell ref="B31:K31"/>
    <mergeCell ref="C20:E20"/>
    <mergeCell ref="G17:H17"/>
    <mergeCell ref="B20:B21"/>
    <mergeCell ref="H20:I20"/>
    <mergeCell ref="J20:K20"/>
    <mergeCell ref="F20:G20"/>
    <mergeCell ref="B19:K19"/>
  </mergeCells>
  <conditionalFormatting sqref="K32 B31 B7 B19">
    <cfRule type="expression" dxfId="2" priority="20">
      <formula>$M$5=3</formula>
    </cfRule>
    <cfRule type="expression" dxfId="1" priority="21">
      <formula>$M$5=2</formula>
    </cfRule>
  </conditionalFormatting>
  <conditionalFormatting sqref="M9:O12">
    <cfRule type="cellIs" dxfId="0" priority="1" operator="equal">
      <formula>FALSE</formula>
    </cfRule>
  </conditionalFormatting>
  <printOptions horizontalCentered="1"/>
  <pageMargins left="0.19685039370078741" right="0.19685039370078741" top="0.78740157480314965" bottom="0.39370078740157483" header="0.39370078740157483" footer="0.39370078740157483"/>
  <pageSetup paperSize="9" scale="74" orientation="landscape" r:id="rId1"/>
  <headerFooter>
    <oddHeader>&amp;C&amp;"-,Έντονη γραφή"&amp;12ΑΣΦΑΛΙΣΤΙΚΕΣ ΕΙΣΦΟΡΕΣ ΜΗΧΑΝΙΚΟΥ ΒΑΣΕΙ ΤΟΥ Ν.4387/16 (νόμος Κατρούγκαλου)</oddHeader>
    <oddFooter>&amp;C&amp;9win² - Σύμβουλοι Μηχανικοί | Χάρης Παπαδόπουλος | win2.gr | info@win2.gr| 2310.345.785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sizeWithCells="1">
                  <from>
                    <xdr:col>5</xdr:col>
                    <xdr:colOff>0</xdr:colOff>
                    <xdr:row>4</xdr:row>
                    <xdr:rowOff>0</xdr:rowOff>
                  </from>
                  <to>
                    <xdr:col>5</xdr:col>
                    <xdr:colOff>685800</xdr:colOff>
                    <xdr:row>4</xdr:row>
                    <xdr:rowOff>219075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sizeWithCells="1">
                  <from>
                    <xdr:col>6</xdr:col>
                    <xdr:colOff>152400</xdr:colOff>
                    <xdr:row>4</xdr:row>
                    <xdr:rowOff>0</xdr:rowOff>
                  </from>
                  <to>
                    <xdr:col>6</xdr:col>
                    <xdr:colOff>1047750</xdr:colOff>
                    <xdr:row>4</xdr:row>
                    <xdr:rowOff>219075</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sizeWithCells="1">
                  <from>
                    <xdr:col>7</xdr:col>
                    <xdr:colOff>428625</xdr:colOff>
                    <xdr:row>4</xdr:row>
                    <xdr:rowOff>0</xdr:rowOff>
                  </from>
                  <to>
                    <xdr:col>7</xdr:col>
                    <xdr:colOff>1028700</xdr:colOff>
                    <xdr:row>4</xdr:row>
                    <xdr:rowOff>219075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sizeWithCells="1">
                  <from>
                    <xdr:col>4</xdr:col>
                    <xdr:colOff>790575</xdr:colOff>
                    <xdr:row>8</xdr:row>
                    <xdr:rowOff>0</xdr:rowOff>
                  </from>
                  <to>
                    <xdr:col>4</xdr:col>
                    <xdr:colOff>1028700</xdr:colOff>
                    <xdr:row>8</xdr:row>
                    <xdr:rowOff>219075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sizeWithCells="1">
                  <from>
                    <xdr:col>4</xdr:col>
                    <xdr:colOff>790575</xdr:colOff>
                    <xdr:row>9</xdr:row>
                    <xdr:rowOff>0</xdr:rowOff>
                  </from>
                  <to>
                    <xdr:col>4</xdr:col>
                    <xdr:colOff>1028700</xdr:colOff>
                    <xdr:row>9</xdr:row>
                    <xdr:rowOff>219075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sizeWithCells="1">
                  <from>
                    <xdr:col>4</xdr:col>
                    <xdr:colOff>790575</xdr:colOff>
                    <xdr:row>10</xdr:row>
                    <xdr:rowOff>0</xdr:rowOff>
                  </from>
                  <to>
                    <xdr:col>4</xdr:col>
                    <xdr:colOff>1028700</xdr:colOff>
                    <xdr:row>10</xdr:row>
                    <xdr:rowOff>219075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sizeWithCells="1">
                  <from>
                    <xdr:col>4</xdr:col>
                    <xdr:colOff>790575</xdr:colOff>
                    <xdr:row>11</xdr:row>
                    <xdr:rowOff>0</xdr:rowOff>
                  </from>
                  <to>
                    <xdr:col>4</xdr:col>
                    <xdr:colOff>1028700</xdr:colOff>
                    <xdr:row>11</xdr:row>
                    <xdr:rowOff>219075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sizeWithCells="1">
                  <from>
                    <xdr:col>3</xdr:col>
                    <xdr:colOff>47625</xdr:colOff>
                    <xdr:row>8</xdr:row>
                    <xdr:rowOff>9525</xdr:rowOff>
                  </from>
                  <to>
                    <xdr:col>3</xdr:col>
                    <xdr:colOff>352425</xdr:colOff>
                    <xdr:row>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3</xdr:col>
                    <xdr:colOff>47625</xdr:colOff>
                    <xdr:row>9</xdr:row>
                    <xdr:rowOff>9525</xdr:rowOff>
                  </from>
                  <to>
                    <xdr:col>3</xdr:col>
                    <xdr:colOff>352425</xdr:colOff>
                    <xdr:row>10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3</xdr:col>
                    <xdr:colOff>47625</xdr:colOff>
                    <xdr:row>10</xdr:row>
                    <xdr:rowOff>9525</xdr:rowOff>
                  </from>
                  <to>
                    <xdr:col>3</xdr:col>
                    <xdr:colOff>352425</xdr:colOff>
                    <xdr:row>11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3</xdr:col>
                    <xdr:colOff>47625</xdr:colOff>
                    <xdr:row>11</xdr:row>
                    <xdr:rowOff>9525</xdr:rowOff>
                  </from>
                  <to>
                    <xdr:col>3</xdr:col>
                    <xdr:colOff>352425</xdr:colOff>
                    <xdr:row>12</xdr:row>
                    <xdr:rowOff>0</xdr:rowOff>
                  </to>
                </anchor>
              </controlPr>
            </control>
          </mc:Choice>
        </mc:AlternateContent>
        <mc:AlternateContent xmlns:mc="http://schemas.openxmlformats.org/markup-compatibility/2006">
          <mc:Choice Requires="x14">
            <control shapeId="1148" r:id="rId15" name="Check Box 124">
              <controlPr defaultSize="0" autoFill="0" autoLine="0" autoPict="0">
                <anchor moveWithCells="1" sizeWithCells="1">
                  <from>
                    <xdr:col>5</xdr:col>
                    <xdr:colOff>790575</xdr:colOff>
                    <xdr:row>9</xdr:row>
                    <xdr:rowOff>0</xdr:rowOff>
                  </from>
                  <to>
                    <xdr:col>5</xdr:col>
                    <xdr:colOff>1028700</xdr:colOff>
                    <xdr:row>9</xdr:row>
                    <xdr:rowOff>219075</xdr:rowOff>
                  </to>
                </anchor>
              </controlPr>
            </control>
          </mc:Choice>
        </mc:AlternateContent>
        <mc:AlternateContent xmlns:mc="http://schemas.openxmlformats.org/markup-compatibility/2006">
          <mc:Choice Requires="x14">
            <control shapeId="1149" r:id="rId16" name="Check Box 125">
              <controlPr defaultSize="0" autoFill="0" autoLine="0" autoPict="0">
                <anchor moveWithCells="1" sizeWithCells="1">
                  <from>
                    <xdr:col>5</xdr:col>
                    <xdr:colOff>790575</xdr:colOff>
                    <xdr:row>10</xdr:row>
                    <xdr:rowOff>0</xdr:rowOff>
                  </from>
                  <to>
                    <xdr:col>5</xdr:col>
                    <xdr:colOff>1028700</xdr:colOff>
                    <xdr:row>10</xdr:row>
                    <xdr:rowOff>219075</xdr:rowOff>
                  </to>
                </anchor>
              </controlPr>
            </control>
          </mc:Choice>
        </mc:AlternateContent>
        <mc:AlternateContent xmlns:mc="http://schemas.openxmlformats.org/markup-compatibility/2006">
          <mc:Choice Requires="x14">
            <control shapeId="1151" r:id="rId17" name="Check Box 127">
              <controlPr defaultSize="0" autoFill="0" autoLine="0" autoPict="0">
                <anchor moveWithCells="1" sizeWithCells="1">
                  <from>
                    <xdr:col>5</xdr:col>
                    <xdr:colOff>790575</xdr:colOff>
                    <xdr:row>8</xdr:row>
                    <xdr:rowOff>0</xdr:rowOff>
                  </from>
                  <to>
                    <xdr:col>5</xdr:col>
                    <xdr:colOff>1028700</xdr:colOff>
                    <xdr:row>8</xdr:row>
                    <xdr:rowOff>219075</xdr:rowOff>
                  </to>
                </anchor>
              </controlPr>
            </control>
          </mc:Choice>
        </mc:AlternateContent>
        <mc:AlternateContent xmlns:mc="http://schemas.openxmlformats.org/markup-compatibility/2006">
          <mc:Choice Requires="x14">
            <control shapeId="1152" r:id="rId18" name="Check Box 128">
              <controlPr defaultSize="0" autoFill="0" autoLine="0" autoPict="0">
                <anchor moveWithCells="1" sizeWithCells="1">
                  <from>
                    <xdr:col>5</xdr:col>
                    <xdr:colOff>790575</xdr:colOff>
                    <xdr:row>10</xdr:row>
                    <xdr:rowOff>209550</xdr:rowOff>
                  </from>
                  <to>
                    <xdr:col>5</xdr:col>
                    <xdr:colOff>1028700</xdr:colOff>
                    <xdr:row>11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tabColor theme="9" tint="-0.499984740745262"/>
  </sheetPr>
  <dimension ref="B1:O50"/>
  <sheetViews>
    <sheetView showGridLines="0" workbookViewId="0">
      <selection activeCell="I11" sqref="I11"/>
    </sheetView>
  </sheetViews>
  <sheetFormatPr defaultRowHeight="18" customHeight="1" x14ac:dyDescent="0.25"/>
  <cols>
    <col min="1" max="1" width="5.7109375" style="1" customWidth="1"/>
    <col min="2" max="4" width="12.7109375" style="1" customWidth="1"/>
    <col min="5" max="5" width="5.7109375" style="1" customWidth="1"/>
    <col min="6" max="6" width="40.5703125" style="1" customWidth="1"/>
    <col min="7" max="15" width="12.7109375" style="1" customWidth="1"/>
    <col min="16" max="16384" width="9.140625" style="1"/>
  </cols>
  <sheetData>
    <row r="1" spans="2:15" ht="18" customHeight="1" thickBot="1" x14ac:dyDescent="0.3"/>
    <row r="2" spans="2:15" ht="18" customHeight="1" x14ac:dyDescent="0.25">
      <c r="B2" s="305" t="s">
        <v>2</v>
      </c>
      <c r="C2" s="306"/>
      <c r="D2" s="315" t="s">
        <v>1</v>
      </c>
      <c r="F2" s="313" t="s">
        <v>3</v>
      </c>
      <c r="G2" s="203" t="s">
        <v>4</v>
      </c>
      <c r="H2" s="204" t="s">
        <v>7</v>
      </c>
      <c r="I2" s="205" t="s">
        <v>8</v>
      </c>
      <c r="J2" s="311" t="s">
        <v>4</v>
      </c>
      <c r="K2" s="312"/>
      <c r="L2" s="309" t="s">
        <v>7</v>
      </c>
      <c r="M2" s="310"/>
      <c r="N2" s="307" t="s">
        <v>8</v>
      </c>
      <c r="O2" s="308"/>
    </row>
    <row r="3" spans="2:15" ht="18" customHeight="1" thickBot="1" x14ac:dyDescent="0.3">
      <c r="B3" s="6" t="s">
        <v>6</v>
      </c>
      <c r="C3" s="7" t="s">
        <v>5</v>
      </c>
      <c r="D3" s="316"/>
      <c r="F3" s="314"/>
      <c r="G3" s="317" t="s">
        <v>30</v>
      </c>
      <c r="H3" s="318"/>
      <c r="I3" s="319"/>
      <c r="J3" s="87" t="s">
        <v>26</v>
      </c>
      <c r="K3" s="88" t="s">
        <v>27</v>
      </c>
      <c r="L3" s="89" t="s">
        <v>26</v>
      </c>
      <c r="M3" s="90" t="s">
        <v>27</v>
      </c>
      <c r="N3" s="91" t="s">
        <v>26</v>
      </c>
      <c r="O3" s="92" t="s">
        <v>27</v>
      </c>
    </row>
    <row r="4" spans="2:15" ht="18" customHeight="1" thickTop="1" x14ac:dyDescent="0.25">
      <c r="B4" s="93">
        <v>4922</v>
      </c>
      <c r="C4" s="94">
        <v>7033</v>
      </c>
      <c r="D4" s="95">
        <v>0</v>
      </c>
      <c r="F4" s="207" t="s">
        <v>49</v>
      </c>
      <c r="G4" s="78">
        <f>I4</f>
        <v>0.1333</v>
      </c>
      <c r="H4" s="75">
        <f>I4</f>
        <v>0.1333</v>
      </c>
      <c r="I4" s="60">
        <v>0.1333</v>
      </c>
      <c r="J4" s="81">
        <v>6.6699999999999995E-2</v>
      </c>
      <c r="K4" s="82">
        <v>0.1333</v>
      </c>
      <c r="L4" s="61">
        <f t="shared" ref="L4:O7" si="0">J4</f>
        <v>6.6699999999999995E-2</v>
      </c>
      <c r="M4" s="62">
        <f t="shared" si="0"/>
        <v>0.1333</v>
      </c>
      <c r="N4" s="63">
        <f t="shared" si="0"/>
        <v>6.6699999999999995E-2</v>
      </c>
      <c r="O4" s="64">
        <f t="shared" si="0"/>
        <v>0.1333</v>
      </c>
    </row>
    <row r="5" spans="2:15" ht="18" customHeight="1" x14ac:dyDescent="0.25">
      <c r="B5" s="96">
        <v>13000</v>
      </c>
      <c r="C5" s="97">
        <f>B5</f>
        <v>13000</v>
      </c>
      <c r="D5" s="98">
        <v>0.5</v>
      </c>
      <c r="F5" s="208" t="s">
        <v>21</v>
      </c>
      <c r="G5" s="79">
        <f>I5</f>
        <v>7.0000000000000007E-2</v>
      </c>
      <c r="H5" s="76">
        <f>I5</f>
        <v>7.0000000000000007E-2</v>
      </c>
      <c r="I5" s="65">
        <v>7.0000000000000007E-2</v>
      </c>
      <c r="J5" s="83">
        <v>3.5000000000000003E-2</v>
      </c>
      <c r="K5" s="84">
        <v>3.5000000000000003E-2</v>
      </c>
      <c r="L5" s="66">
        <f t="shared" si="0"/>
        <v>3.5000000000000003E-2</v>
      </c>
      <c r="M5" s="67">
        <f t="shared" si="0"/>
        <v>3.5000000000000003E-2</v>
      </c>
      <c r="N5" s="68">
        <f t="shared" si="0"/>
        <v>3.5000000000000003E-2</v>
      </c>
      <c r="O5" s="69">
        <f t="shared" si="0"/>
        <v>3.5000000000000003E-2</v>
      </c>
    </row>
    <row r="6" spans="2:15" ht="18" customHeight="1" x14ac:dyDescent="0.25">
      <c r="B6" s="96">
        <v>14000</v>
      </c>
      <c r="C6" s="97">
        <f t="shared" ref="C6:C49" si="1">B6</f>
        <v>14000</v>
      </c>
      <c r="D6" s="98">
        <v>0.49</v>
      </c>
      <c r="F6" s="208" t="s">
        <v>22</v>
      </c>
      <c r="G6" s="79">
        <f>I6</f>
        <v>0.04</v>
      </c>
      <c r="H6" s="76">
        <f>I6</f>
        <v>0.04</v>
      </c>
      <c r="I6" s="65">
        <v>0.04</v>
      </c>
      <c r="J6" s="83">
        <v>0.04</v>
      </c>
      <c r="K6" s="84">
        <v>0</v>
      </c>
      <c r="L6" s="66">
        <f t="shared" si="0"/>
        <v>0.04</v>
      </c>
      <c r="M6" s="67">
        <f t="shared" si="0"/>
        <v>0</v>
      </c>
      <c r="N6" s="68">
        <f t="shared" si="0"/>
        <v>0.04</v>
      </c>
      <c r="O6" s="69">
        <f t="shared" si="0"/>
        <v>0</v>
      </c>
    </row>
    <row r="7" spans="2:15" ht="18" customHeight="1" x14ac:dyDescent="0.25">
      <c r="B7" s="96">
        <v>15000</v>
      </c>
      <c r="C7" s="97">
        <f t="shared" si="1"/>
        <v>15000</v>
      </c>
      <c r="D7" s="98">
        <v>0.48</v>
      </c>
      <c r="F7" s="209" t="s">
        <v>23</v>
      </c>
      <c r="G7" s="80">
        <f>I7</f>
        <v>6.9500000000000006E-2</v>
      </c>
      <c r="H7" s="77">
        <f>I7</f>
        <v>6.9500000000000006E-2</v>
      </c>
      <c r="I7" s="70">
        <f>(6.45+0.5)/100</f>
        <v>6.9500000000000006E-2</v>
      </c>
      <c r="J7" s="85">
        <f>(2.15+0.4)/100</f>
        <v>2.5499999999999998E-2</v>
      </c>
      <c r="K7" s="86">
        <f>(4.3+0.25)/100</f>
        <v>4.5499999999999999E-2</v>
      </c>
      <c r="L7" s="71">
        <f t="shared" si="0"/>
        <v>2.5499999999999998E-2</v>
      </c>
      <c r="M7" s="72">
        <f t="shared" si="0"/>
        <v>4.5499999999999999E-2</v>
      </c>
      <c r="N7" s="73">
        <f t="shared" si="0"/>
        <v>2.5499999999999998E-2</v>
      </c>
      <c r="O7" s="74">
        <f t="shared" si="0"/>
        <v>4.5499999999999999E-2</v>
      </c>
    </row>
    <row r="8" spans="2:15" ht="18" customHeight="1" x14ac:dyDescent="0.25">
      <c r="B8" s="96">
        <v>16000</v>
      </c>
      <c r="C8" s="97">
        <f t="shared" si="1"/>
        <v>16000</v>
      </c>
      <c r="D8" s="98">
        <v>0.47</v>
      </c>
      <c r="F8" s="206" t="s">
        <v>39</v>
      </c>
      <c r="G8" s="211">
        <f t="shared" ref="G8:O8" si="2">SUM(G4:G7)</f>
        <v>0.31280000000000002</v>
      </c>
      <c r="H8" s="212">
        <f t="shared" si="2"/>
        <v>0.31280000000000002</v>
      </c>
      <c r="I8" s="213">
        <f t="shared" si="2"/>
        <v>0.31280000000000002</v>
      </c>
      <c r="J8" s="214">
        <f t="shared" si="2"/>
        <v>0.16719999999999999</v>
      </c>
      <c r="K8" s="215">
        <f t="shared" si="2"/>
        <v>0.21379999999999999</v>
      </c>
      <c r="L8" s="216">
        <f t="shared" si="2"/>
        <v>0.16719999999999999</v>
      </c>
      <c r="M8" s="217">
        <f t="shared" si="2"/>
        <v>0.21379999999999999</v>
      </c>
      <c r="N8" s="218">
        <f t="shared" si="2"/>
        <v>0.16719999999999999</v>
      </c>
      <c r="O8" s="219">
        <f t="shared" si="2"/>
        <v>0.21379999999999999</v>
      </c>
    </row>
    <row r="9" spans="2:15" ht="18" customHeight="1" thickBot="1" x14ac:dyDescent="0.3">
      <c r="B9" s="96">
        <v>17000</v>
      </c>
      <c r="C9" s="97">
        <f t="shared" si="1"/>
        <v>17000</v>
      </c>
      <c r="D9" s="98">
        <v>0.46</v>
      </c>
      <c r="F9" s="210" t="s">
        <v>28</v>
      </c>
      <c r="G9" s="240">
        <v>10</v>
      </c>
      <c r="H9" s="241">
        <f>G9</f>
        <v>10</v>
      </c>
      <c r="I9" s="242">
        <f>G9</f>
        <v>10</v>
      </c>
      <c r="J9" s="243">
        <f>G9</f>
        <v>10</v>
      </c>
      <c r="K9" s="244"/>
      <c r="L9" s="245">
        <f>H9</f>
        <v>10</v>
      </c>
      <c r="M9" s="246"/>
      <c r="N9" s="247">
        <f>I9</f>
        <v>10</v>
      </c>
      <c r="O9" s="248"/>
    </row>
    <row r="10" spans="2:15" ht="18" customHeight="1" thickBot="1" x14ac:dyDescent="0.3">
      <c r="B10" s="96">
        <v>18000</v>
      </c>
      <c r="C10" s="97">
        <f t="shared" si="1"/>
        <v>18000</v>
      </c>
      <c r="D10" s="98">
        <v>0.45</v>
      </c>
    </row>
    <row r="11" spans="2:15" ht="18" customHeight="1" x14ac:dyDescent="0.25">
      <c r="B11" s="96">
        <v>19000</v>
      </c>
      <c r="C11" s="97">
        <f t="shared" si="1"/>
        <v>19000</v>
      </c>
      <c r="D11" s="98">
        <v>0.44</v>
      </c>
      <c r="F11" s="15" t="s">
        <v>0</v>
      </c>
      <c r="G11" s="16"/>
      <c r="H11" s="16"/>
      <c r="I11" s="250">
        <v>650</v>
      </c>
    </row>
    <row r="12" spans="2:15" ht="18" customHeight="1" thickBot="1" x14ac:dyDescent="0.3">
      <c r="B12" s="96">
        <v>20000</v>
      </c>
      <c r="C12" s="97">
        <f t="shared" si="1"/>
        <v>20000</v>
      </c>
      <c r="D12" s="98">
        <v>0.43</v>
      </c>
      <c r="F12" s="17" t="s">
        <v>29</v>
      </c>
      <c r="G12" s="18"/>
      <c r="H12" s="18"/>
      <c r="I12" s="249">
        <v>0.7</v>
      </c>
    </row>
    <row r="13" spans="2:15" ht="18" customHeight="1" thickBot="1" x14ac:dyDescent="0.3">
      <c r="B13" s="96">
        <v>21000</v>
      </c>
      <c r="C13" s="97">
        <f t="shared" si="1"/>
        <v>21000</v>
      </c>
      <c r="D13" s="98">
        <v>0.42</v>
      </c>
    </row>
    <row r="14" spans="2:15" ht="18" customHeight="1" thickBot="1" x14ac:dyDescent="0.3">
      <c r="B14" s="96">
        <v>22000</v>
      </c>
      <c r="C14" s="97">
        <f t="shared" si="1"/>
        <v>22000</v>
      </c>
      <c r="D14" s="98">
        <v>0.41</v>
      </c>
      <c r="F14" s="259" t="s">
        <v>50</v>
      </c>
      <c r="G14" s="260"/>
      <c r="H14" s="260"/>
      <c r="I14" s="260"/>
      <c r="J14" s="260"/>
      <c r="K14" s="261">
        <v>0.2</v>
      </c>
    </row>
    <row r="15" spans="2:15" ht="18" customHeight="1" thickBot="1" x14ac:dyDescent="0.3">
      <c r="B15" s="96">
        <v>23000</v>
      </c>
      <c r="C15" s="97">
        <f t="shared" si="1"/>
        <v>23000</v>
      </c>
      <c r="D15" s="98">
        <v>0.4</v>
      </c>
    </row>
    <row r="16" spans="2:15" ht="18" customHeight="1" thickBot="1" x14ac:dyDescent="0.3">
      <c r="B16" s="96">
        <v>24000</v>
      </c>
      <c r="C16" s="97">
        <f t="shared" si="1"/>
        <v>24000</v>
      </c>
      <c r="D16" s="98">
        <v>0.39</v>
      </c>
      <c r="F16" s="259" t="s">
        <v>56</v>
      </c>
      <c r="G16" s="321">
        <v>14</v>
      </c>
    </row>
    <row r="17" spans="2:4" ht="18" customHeight="1" x14ac:dyDescent="0.25">
      <c r="B17" s="96">
        <v>25000</v>
      </c>
      <c r="C17" s="97">
        <f t="shared" si="1"/>
        <v>25000</v>
      </c>
      <c r="D17" s="98">
        <v>0.38</v>
      </c>
    </row>
    <row r="18" spans="2:4" ht="18" customHeight="1" x14ac:dyDescent="0.25">
      <c r="B18" s="96">
        <v>26000</v>
      </c>
      <c r="C18" s="97">
        <f t="shared" si="1"/>
        <v>26000</v>
      </c>
      <c r="D18" s="98">
        <v>0.37</v>
      </c>
    </row>
    <row r="19" spans="2:4" ht="18" customHeight="1" x14ac:dyDescent="0.25">
      <c r="B19" s="96">
        <v>27000</v>
      </c>
      <c r="C19" s="97">
        <f t="shared" si="1"/>
        <v>27000</v>
      </c>
      <c r="D19" s="98">
        <v>0.36</v>
      </c>
    </row>
    <row r="20" spans="2:4" ht="18" customHeight="1" x14ac:dyDescent="0.25">
      <c r="B20" s="96">
        <v>28000</v>
      </c>
      <c r="C20" s="97">
        <f t="shared" si="1"/>
        <v>28000</v>
      </c>
      <c r="D20" s="98">
        <v>0.35</v>
      </c>
    </row>
    <row r="21" spans="2:4" ht="18" customHeight="1" x14ac:dyDescent="0.25">
      <c r="B21" s="96">
        <v>29000</v>
      </c>
      <c r="C21" s="97">
        <f t="shared" si="1"/>
        <v>29000</v>
      </c>
      <c r="D21" s="98">
        <v>0.34</v>
      </c>
    </row>
    <row r="22" spans="2:4" ht="18" customHeight="1" x14ac:dyDescent="0.25">
      <c r="B22" s="96">
        <v>30000</v>
      </c>
      <c r="C22" s="97">
        <f t="shared" si="1"/>
        <v>30000</v>
      </c>
      <c r="D22" s="98">
        <v>0.33</v>
      </c>
    </row>
    <row r="23" spans="2:4" ht="18" customHeight="1" x14ac:dyDescent="0.25">
      <c r="B23" s="96">
        <v>31000</v>
      </c>
      <c r="C23" s="97">
        <f t="shared" si="1"/>
        <v>31000</v>
      </c>
      <c r="D23" s="98">
        <v>0.32</v>
      </c>
    </row>
    <row r="24" spans="2:4" ht="18" customHeight="1" x14ac:dyDescent="0.25">
      <c r="B24" s="96">
        <v>32000</v>
      </c>
      <c r="C24" s="97">
        <f t="shared" si="1"/>
        <v>32000</v>
      </c>
      <c r="D24" s="98">
        <v>0.31</v>
      </c>
    </row>
    <row r="25" spans="2:4" ht="18" customHeight="1" x14ac:dyDescent="0.25">
      <c r="B25" s="96">
        <v>33000</v>
      </c>
      <c r="C25" s="97">
        <f t="shared" si="1"/>
        <v>33000</v>
      </c>
      <c r="D25" s="98">
        <v>0.3</v>
      </c>
    </row>
    <row r="26" spans="2:4" ht="18" customHeight="1" x14ac:dyDescent="0.25">
      <c r="B26" s="96">
        <v>34000</v>
      </c>
      <c r="C26" s="97">
        <f t="shared" si="1"/>
        <v>34000</v>
      </c>
      <c r="D26" s="98">
        <v>0.28999999999999998</v>
      </c>
    </row>
    <row r="27" spans="2:4" ht="18" customHeight="1" x14ac:dyDescent="0.25">
      <c r="B27" s="96">
        <v>35000</v>
      </c>
      <c r="C27" s="97">
        <f t="shared" si="1"/>
        <v>35000</v>
      </c>
      <c r="D27" s="98">
        <v>0.28000000000000003</v>
      </c>
    </row>
    <row r="28" spans="2:4" ht="18" customHeight="1" x14ac:dyDescent="0.25">
      <c r="B28" s="96">
        <v>36000</v>
      </c>
      <c r="C28" s="97">
        <f t="shared" si="1"/>
        <v>36000</v>
      </c>
      <c r="D28" s="98">
        <v>0.27</v>
      </c>
    </row>
    <row r="29" spans="2:4" ht="18" customHeight="1" x14ac:dyDescent="0.25">
      <c r="B29" s="96">
        <v>37000</v>
      </c>
      <c r="C29" s="97">
        <f t="shared" si="1"/>
        <v>37000</v>
      </c>
      <c r="D29" s="98">
        <v>0.26</v>
      </c>
    </row>
    <row r="30" spans="2:4" ht="18" customHeight="1" x14ac:dyDescent="0.25">
      <c r="B30" s="96">
        <v>38000</v>
      </c>
      <c r="C30" s="97">
        <f t="shared" si="1"/>
        <v>38000</v>
      </c>
      <c r="D30" s="98">
        <v>0.25</v>
      </c>
    </row>
    <row r="31" spans="2:4" ht="18" customHeight="1" x14ac:dyDescent="0.25">
      <c r="B31" s="96">
        <v>39000</v>
      </c>
      <c r="C31" s="97">
        <f t="shared" si="1"/>
        <v>39000</v>
      </c>
      <c r="D31" s="98">
        <v>0.24</v>
      </c>
    </row>
    <row r="32" spans="2:4" ht="18" customHeight="1" x14ac:dyDescent="0.25">
      <c r="B32" s="96">
        <v>40000</v>
      </c>
      <c r="C32" s="97">
        <f t="shared" si="1"/>
        <v>40000</v>
      </c>
      <c r="D32" s="98">
        <v>0.23</v>
      </c>
    </row>
    <row r="33" spans="2:4" ht="18" customHeight="1" x14ac:dyDescent="0.25">
      <c r="B33" s="96">
        <v>41000</v>
      </c>
      <c r="C33" s="97">
        <f t="shared" si="1"/>
        <v>41000</v>
      </c>
      <c r="D33" s="98">
        <v>0.22</v>
      </c>
    </row>
    <row r="34" spans="2:4" ht="18" customHeight="1" x14ac:dyDescent="0.25">
      <c r="B34" s="96">
        <v>42000</v>
      </c>
      <c r="C34" s="97">
        <f t="shared" si="1"/>
        <v>42000</v>
      </c>
      <c r="D34" s="98">
        <v>0.21</v>
      </c>
    </row>
    <row r="35" spans="2:4" ht="18" customHeight="1" x14ac:dyDescent="0.25">
      <c r="B35" s="96">
        <v>43000</v>
      </c>
      <c r="C35" s="97">
        <f t="shared" si="1"/>
        <v>43000</v>
      </c>
      <c r="D35" s="98">
        <v>0.2</v>
      </c>
    </row>
    <row r="36" spans="2:4" ht="18" customHeight="1" x14ac:dyDescent="0.25">
      <c r="B36" s="96">
        <v>44000</v>
      </c>
      <c r="C36" s="97">
        <f t="shared" si="1"/>
        <v>44000</v>
      </c>
      <c r="D36" s="98">
        <v>0.19</v>
      </c>
    </row>
    <row r="37" spans="2:4" ht="18" customHeight="1" x14ac:dyDescent="0.25">
      <c r="B37" s="96">
        <v>45000</v>
      </c>
      <c r="C37" s="97">
        <f t="shared" si="1"/>
        <v>45000</v>
      </c>
      <c r="D37" s="98">
        <v>0.18</v>
      </c>
    </row>
    <row r="38" spans="2:4" ht="18" customHeight="1" x14ac:dyDescent="0.25">
      <c r="B38" s="96">
        <v>46000</v>
      </c>
      <c r="C38" s="97">
        <f t="shared" si="1"/>
        <v>46000</v>
      </c>
      <c r="D38" s="98">
        <v>0.17</v>
      </c>
    </row>
    <row r="39" spans="2:4" ht="18" customHeight="1" x14ac:dyDescent="0.25">
      <c r="B39" s="96">
        <v>47000</v>
      </c>
      <c r="C39" s="97">
        <f t="shared" si="1"/>
        <v>47000</v>
      </c>
      <c r="D39" s="98">
        <v>0.16</v>
      </c>
    </row>
    <row r="40" spans="2:4" ht="18" customHeight="1" x14ac:dyDescent="0.25">
      <c r="B40" s="96">
        <v>48000</v>
      </c>
      <c r="C40" s="97">
        <f t="shared" si="1"/>
        <v>48000</v>
      </c>
      <c r="D40" s="98">
        <v>0.15</v>
      </c>
    </row>
    <row r="41" spans="2:4" ht="18" customHeight="1" x14ac:dyDescent="0.25">
      <c r="B41" s="96">
        <v>49000</v>
      </c>
      <c r="C41" s="97">
        <f t="shared" si="1"/>
        <v>49000</v>
      </c>
      <c r="D41" s="98">
        <v>0.14000000000000001</v>
      </c>
    </row>
    <row r="42" spans="2:4" ht="18" customHeight="1" x14ac:dyDescent="0.25">
      <c r="B42" s="96">
        <v>50000</v>
      </c>
      <c r="C42" s="97">
        <f t="shared" si="1"/>
        <v>50000</v>
      </c>
      <c r="D42" s="98">
        <v>0.13</v>
      </c>
    </row>
    <row r="43" spans="2:4" ht="18" customHeight="1" x14ac:dyDescent="0.25">
      <c r="B43" s="96">
        <v>51000</v>
      </c>
      <c r="C43" s="97">
        <f t="shared" si="1"/>
        <v>51000</v>
      </c>
      <c r="D43" s="98">
        <v>0.12</v>
      </c>
    </row>
    <row r="44" spans="2:4" ht="18" customHeight="1" x14ac:dyDescent="0.25">
      <c r="B44" s="96">
        <v>52000</v>
      </c>
      <c r="C44" s="97">
        <f t="shared" si="1"/>
        <v>52000</v>
      </c>
      <c r="D44" s="98">
        <v>0.11</v>
      </c>
    </row>
    <row r="45" spans="2:4" ht="18" customHeight="1" x14ac:dyDescent="0.25">
      <c r="B45" s="96">
        <v>53000</v>
      </c>
      <c r="C45" s="97">
        <f t="shared" si="1"/>
        <v>53000</v>
      </c>
      <c r="D45" s="98">
        <v>0.1</v>
      </c>
    </row>
    <row r="46" spans="2:4" ht="18" customHeight="1" x14ac:dyDescent="0.25">
      <c r="B46" s="96">
        <v>54000</v>
      </c>
      <c r="C46" s="97">
        <f t="shared" si="1"/>
        <v>54000</v>
      </c>
      <c r="D46" s="98">
        <v>0.09</v>
      </c>
    </row>
    <row r="47" spans="2:4" ht="18" customHeight="1" x14ac:dyDescent="0.25">
      <c r="B47" s="96">
        <v>55000</v>
      </c>
      <c r="C47" s="97">
        <f t="shared" si="1"/>
        <v>55000</v>
      </c>
      <c r="D47" s="98">
        <v>0.08</v>
      </c>
    </row>
    <row r="48" spans="2:4" ht="18" customHeight="1" x14ac:dyDescent="0.25">
      <c r="B48" s="96">
        <v>56000</v>
      </c>
      <c r="C48" s="97">
        <f t="shared" si="1"/>
        <v>56000</v>
      </c>
      <c r="D48" s="98">
        <v>7.0000000000000007E-2</v>
      </c>
    </row>
    <row r="49" spans="2:4" ht="18" customHeight="1" x14ac:dyDescent="0.25">
      <c r="B49" s="96">
        <v>57000</v>
      </c>
      <c r="C49" s="97">
        <f t="shared" si="1"/>
        <v>57000</v>
      </c>
      <c r="D49" s="98">
        <v>0.06</v>
      </c>
    </row>
    <row r="50" spans="2:4" ht="18" customHeight="1" thickBot="1" x14ac:dyDescent="0.3">
      <c r="B50" s="99">
        <v>58000</v>
      </c>
      <c r="C50" s="100">
        <f>B50</f>
        <v>58000</v>
      </c>
      <c r="D50" s="101">
        <v>0.05</v>
      </c>
    </row>
  </sheetData>
  <sheetProtection algorithmName="SHA-512" hashValue="uRzUFix2fjsBcTZBWnxM/lX53ePrhkULm/ImRUXDXTLJ4g0NZAGj/C1UDCA5hdT564Zh/sxdrefIFYSKPV+yZw==" saltValue="/3wROtAJVbyeo9L0l8I6Jw==" spinCount="100000" sheet="1" selectLockedCells="1"/>
  <mergeCells count="7">
    <mergeCell ref="B2:C2"/>
    <mergeCell ref="N2:O2"/>
    <mergeCell ref="L2:M2"/>
    <mergeCell ref="J2:K2"/>
    <mergeCell ref="F2:F3"/>
    <mergeCell ref="D2:D3"/>
    <mergeCell ref="G3:I3"/>
  </mergeCells>
  <dataValidations count="1">
    <dataValidation type="whole" operator="greaterThan" allowBlank="1" showInputMessage="1" showErrorMessage="1" errorTitle="Λάθος στην εισαγωγή" error="Εισάγετε έναν αριθμό μεγαλύτερο του μηδενός." sqref="G16" xr:uid="{D4844A57-0FFB-43D2-AB3C-0E946D052197}">
      <formula1>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3</vt:i4>
      </vt:variant>
    </vt:vector>
  </HeadingPairs>
  <TitlesOfParts>
    <vt:vector size="5" baseType="lpstr">
      <vt:lpstr>Υπολογισμοί</vt:lpstr>
      <vt:lpstr>Συντελεστές</vt:lpstr>
      <vt:lpstr>Pinakas_Arthrou_98</vt:lpstr>
      <vt:lpstr>Συντελεστές!Print_Area</vt:lpstr>
      <vt:lpstr>Υπολογισμοί!Print_Area</vt:lpstr>
    </vt:vector>
  </TitlesOfParts>
  <Company>win² - Σύμβουλοι Μηχανικοί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Χάρης Παπαδόπουλος</dc:creator>
  <cp:lastModifiedBy>Χάρης Παπαδόπουλος</cp:lastModifiedBy>
  <cp:lastPrinted>2017-01-26T07:34:10Z</cp:lastPrinted>
  <dcterms:created xsi:type="dcterms:W3CDTF">2016-05-10T09:48:25Z</dcterms:created>
  <dcterms:modified xsi:type="dcterms:W3CDTF">2019-03-26T13:52:44Z</dcterms:modified>
</cp:coreProperties>
</file>